
<file path=[Content_Types].xml><?xml version="1.0" encoding="utf-8"?>
<Types xmlns="http://schemas.openxmlformats.org/package/2006/content-types">
  <Default Extension="bin" ContentType="application/vnd.openxmlformats-officedocument.spreadsheetml.printerSettings"/>
  <Default Extension="xls" ContentType="application/vnd.ms-excel"/>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ashintseva\Desktop\ГП\ОТЧЕТЫ по ГП\2023\за 2023 год\Сводный годовой 2023\"/>
    </mc:Choice>
  </mc:AlternateContent>
  <bookViews>
    <workbookView xWindow="-120" yWindow="-120" windowWidth="29040" windowHeight="15840"/>
  </bookViews>
  <sheets>
    <sheet name="1. Показатели" sheetId="23" r:id="rId1"/>
    <sheet name="2.ПП" sheetId="28" r:id="rId2"/>
    <sheet name="3. ОКС" sheetId="30" r:id="rId3"/>
    <sheet name="4. Оценка" sheetId="22" r:id="rId4"/>
    <sheet name="Лист2" sheetId="29" state="hidden" r:id="rId5"/>
  </sheets>
  <externalReferences>
    <externalReference r:id="rId6"/>
  </externalReferences>
  <definedNames>
    <definedName name="_xlnm._FilterDatabase" localSheetId="0" hidden="1">'1. Показатели'!$A$4:$O$490</definedName>
    <definedName name="_xlnm._FilterDatabase" localSheetId="3" hidden="1">'4. Оценка'!$A$1:$T$93</definedName>
    <definedName name="_xlnm._FilterDatabase" localSheetId="4" hidden="1">Лист2!#REF!</definedName>
    <definedName name="_xlnm.Print_Titles" localSheetId="0">'1. Показатели'!$4:$5</definedName>
    <definedName name="_xlnm.Print_Titles" localSheetId="3">'4. Оценка'!$5:$7</definedName>
    <definedName name="_xlnm.Print_Area" localSheetId="0">'1. Показатели'!$A$1:$L$502</definedName>
    <definedName name="_xlnm.Print_Area" localSheetId="3">'4. Оценка'!$A$1:$T$93</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9" i="22" l="1"/>
  <c r="I9" i="22"/>
  <c r="L23" i="30" l="1"/>
  <c r="L24" i="30"/>
  <c r="L25" i="30"/>
  <c r="L26" i="30"/>
  <c r="L29" i="30"/>
  <c r="L32" i="30"/>
  <c r="L33" i="30"/>
  <c r="L34" i="30"/>
  <c r="L35" i="30"/>
  <c r="L36" i="30"/>
  <c r="L37" i="30"/>
  <c r="L38" i="30"/>
  <c r="L39" i="30"/>
  <c r="L42" i="30"/>
  <c r="L43" i="30"/>
  <c r="L44" i="30"/>
  <c r="L75" i="30"/>
  <c r="L88" i="30"/>
  <c r="L195" i="30"/>
  <c r="L255" i="30"/>
  <c r="L257" i="30"/>
  <c r="K306" i="30"/>
  <c r="J306" i="30"/>
  <c r="J302" i="30" s="1"/>
  <c r="I306" i="30"/>
  <c r="H306" i="30"/>
  <c r="K305" i="30"/>
  <c r="K304" i="30"/>
  <c r="L303" i="30"/>
  <c r="K303" i="30"/>
  <c r="K302" i="30" s="1"/>
  <c r="I291" i="30" s="1"/>
  <c r="I287" i="30" s="1"/>
  <c r="I302" i="30"/>
  <c r="H302" i="30"/>
  <c r="G302" i="30"/>
  <c r="K301" i="30"/>
  <c r="K297" i="30" s="1"/>
  <c r="J301" i="30"/>
  <c r="J297" i="30" s="1"/>
  <c r="I301" i="30"/>
  <c r="H301" i="30"/>
  <c r="L299" i="30"/>
  <c r="L298" i="30"/>
  <c r="I297" i="30"/>
  <c r="H297" i="30"/>
  <c r="G297" i="30"/>
  <c r="K296" i="30"/>
  <c r="J296" i="30"/>
  <c r="J292" i="30" s="1"/>
  <c r="I296" i="30"/>
  <c r="I292" i="30" s="1"/>
  <c r="H296" i="30"/>
  <c r="H292" i="30" s="1"/>
  <c r="G296" i="30"/>
  <c r="L293" i="30"/>
  <c r="K292" i="30"/>
  <c r="G292" i="30"/>
  <c r="L289" i="30"/>
  <c r="L288" i="30"/>
  <c r="K287" i="30"/>
  <c r="J287" i="30"/>
  <c r="L287" i="30" s="1"/>
  <c r="H287" i="30"/>
  <c r="K286" i="30"/>
  <c r="K282" i="30" s="1"/>
  <c r="J286" i="30"/>
  <c r="I286" i="30"/>
  <c r="H286" i="30"/>
  <c r="G286" i="30"/>
  <c r="G282" i="30" s="1"/>
  <c r="J283" i="30"/>
  <c r="L283" i="30" s="1"/>
  <c r="J282" i="30"/>
  <c r="L282" i="30" s="1"/>
  <c r="I282" i="30"/>
  <c r="H282" i="30"/>
  <c r="K281" i="30"/>
  <c r="I281" i="30"/>
  <c r="H281" i="30"/>
  <c r="H277" i="30" s="1"/>
  <c r="L278" i="30"/>
  <c r="J277" i="30"/>
  <c r="I277" i="30"/>
  <c r="G277" i="30"/>
  <c r="L273" i="30"/>
  <c r="K272" i="30"/>
  <c r="J272" i="30"/>
  <c r="L272" i="30" s="1"/>
  <c r="I272" i="30"/>
  <c r="H272" i="30"/>
  <c r="G272" i="30"/>
  <c r="J269" i="30"/>
  <c r="L269" i="30" s="1"/>
  <c r="I269" i="30"/>
  <c r="H269" i="30"/>
  <c r="G269" i="30"/>
  <c r="J268" i="30"/>
  <c r="I268" i="30"/>
  <c r="H268" i="30"/>
  <c r="G268" i="30"/>
  <c r="L266" i="30"/>
  <c r="K265" i="30"/>
  <c r="J265" i="30"/>
  <c r="I265" i="30"/>
  <c r="H265" i="30"/>
  <c r="G265" i="30"/>
  <c r="K263" i="30"/>
  <c r="J263" i="30"/>
  <c r="J262" i="30" s="1"/>
  <c r="I263" i="30"/>
  <c r="I262" i="30" s="1"/>
  <c r="H263" i="30"/>
  <c r="H262" i="30" s="1"/>
  <c r="G263" i="30"/>
  <c r="G262" i="30" s="1"/>
  <c r="L258" i="30"/>
  <c r="K257" i="30"/>
  <c r="J257" i="30"/>
  <c r="I257" i="30"/>
  <c r="H257" i="30"/>
  <c r="G257" i="30"/>
  <c r="K251" i="30"/>
  <c r="J251" i="30"/>
  <c r="L251" i="30" s="1"/>
  <c r="I251" i="30"/>
  <c r="H251" i="30"/>
  <c r="G251" i="30"/>
  <c r="J249" i="30"/>
  <c r="J247" i="30" s="1"/>
  <c r="I249" i="30"/>
  <c r="H249" i="30"/>
  <c r="H247" i="30" s="1"/>
  <c r="G249" i="30"/>
  <c r="L248" i="30"/>
  <c r="J248" i="30"/>
  <c r="I248" i="30"/>
  <c r="I247" i="30" s="1"/>
  <c r="H248" i="30"/>
  <c r="G247" i="30"/>
  <c r="K236" i="30"/>
  <c r="J236" i="30"/>
  <c r="I236" i="30"/>
  <c r="H236" i="30"/>
  <c r="G236" i="30"/>
  <c r="K232" i="30"/>
  <c r="J232" i="30"/>
  <c r="I232" i="30"/>
  <c r="H232" i="30"/>
  <c r="G232" i="30"/>
  <c r="I229" i="30"/>
  <c r="H229" i="30"/>
  <c r="L229" i="30" s="1"/>
  <c r="G229" i="30"/>
  <c r="J226" i="30"/>
  <c r="I226" i="30"/>
  <c r="H226" i="30"/>
  <c r="G226" i="30"/>
  <c r="J223" i="30"/>
  <c r="I223" i="30"/>
  <c r="H223" i="30"/>
  <c r="G223" i="30"/>
  <c r="G220" i="30"/>
  <c r="L219" i="30"/>
  <c r="L218" i="30"/>
  <c r="J217" i="30"/>
  <c r="L217" i="30" s="1"/>
  <c r="I217" i="30"/>
  <c r="H217" i="30"/>
  <c r="G217" i="30"/>
  <c r="J214" i="30"/>
  <c r="I214" i="30"/>
  <c r="H214" i="30"/>
  <c r="G214" i="30"/>
  <c r="L213" i="30"/>
  <c r="L212" i="30"/>
  <c r="J211" i="30"/>
  <c r="L211" i="30" s="1"/>
  <c r="I211" i="30"/>
  <c r="H211" i="30"/>
  <c r="G211" i="30"/>
  <c r="L209" i="30"/>
  <c r="J208" i="30"/>
  <c r="I208" i="30"/>
  <c r="H208" i="30"/>
  <c r="G208" i="30"/>
  <c r="L206" i="30"/>
  <c r="K205" i="30"/>
  <c r="I205" i="30"/>
  <c r="H205" i="30"/>
  <c r="G205" i="30"/>
  <c r="L204" i="30"/>
  <c r="L203" i="30"/>
  <c r="K202" i="30"/>
  <c r="J202" i="30"/>
  <c r="I202" i="30"/>
  <c r="H202" i="30"/>
  <c r="G202" i="30"/>
  <c r="L201" i="30"/>
  <c r="H200" i="30"/>
  <c r="L200" i="30" s="1"/>
  <c r="G200" i="30"/>
  <c r="L199" i="30"/>
  <c r="L198" i="30"/>
  <c r="K197" i="30"/>
  <c r="J197" i="30"/>
  <c r="L197" i="30" s="1"/>
  <c r="I197" i="30"/>
  <c r="H197" i="30"/>
  <c r="G197" i="30"/>
  <c r="K194" i="30"/>
  <c r="J194" i="30"/>
  <c r="I194" i="30"/>
  <c r="H194" i="30"/>
  <c r="L194" i="30" s="1"/>
  <c r="G194" i="30"/>
  <c r="K191" i="30"/>
  <c r="J191" i="30"/>
  <c r="I191" i="30"/>
  <c r="H191" i="30"/>
  <c r="G191" i="30"/>
  <c r="K188" i="30"/>
  <c r="J188" i="30"/>
  <c r="I188" i="30"/>
  <c r="H188" i="30"/>
  <c r="G188" i="30"/>
  <c r="K185" i="30"/>
  <c r="J185" i="30"/>
  <c r="L185" i="30" s="1"/>
  <c r="I185" i="30"/>
  <c r="H185" i="30"/>
  <c r="G185" i="30"/>
  <c r="L184" i="30"/>
  <c r="L183" i="30"/>
  <c r="K182" i="30"/>
  <c r="J182" i="30"/>
  <c r="L182" i="30" s="1"/>
  <c r="I182" i="30"/>
  <c r="H182" i="30"/>
  <c r="G182" i="30"/>
  <c r="L180" i="30"/>
  <c r="L179" i="30"/>
  <c r="L178" i="30"/>
  <c r="K177" i="30"/>
  <c r="J177" i="30"/>
  <c r="L177" i="30" s="1"/>
  <c r="I177" i="30"/>
  <c r="H177" i="30"/>
  <c r="G177" i="30"/>
  <c r="L172" i="30"/>
  <c r="K172" i="30"/>
  <c r="K171" i="30" s="1"/>
  <c r="J171" i="30"/>
  <c r="I171" i="30"/>
  <c r="H171" i="30"/>
  <c r="G171" i="30"/>
  <c r="L167" i="30"/>
  <c r="K167" i="30"/>
  <c r="K166" i="30"/>
  <c r="J166" i="30"/>
  <c r="I166" i="30"/>
  <c r="H166" i="30"/>
  <c r="G166" i="30"/>
  <c r="L165" i="30"/>
  <c r="K164" i="30"/>
  <c r="I164" i="30"/>
  <c r="H164" i="30"/>
  <c r="L164" i="30" s="1"/>
  <c r="G164" i="30"/>
  <c r="I162" i="30"/>
  <c r="H162" i="30"/>
  <c r="L162" i="30" s="1"/>
  <c r="G162" i="30"/>
  <c r="K161" i="30"/>
  <c r="J161" i="30"/>
  <c r="I161" i="30"/>
  <c r="I158" i="30" s="1"/>
  <c r="H161" i="30"/>
  <c r="G161" i="30"/>
  <c r="K160" i="30"/>
  <c r="J160" i="30"/>
  <c r="I160" i="30"/>
  <c r="H160" i="30"/>
  <c r="G160" i="30"/>
  <c r="K159" i="30"/>
  <c r="K158" i="30" s="1"/>
  <c r="J159" i="30"/>
  <c r="L159" i="30" s="1"/>
  <c r="I159" i="30"/>
  <c r="H159" i="30"/>
  <c r="H158" i="30" s="1"/>
  <c r="G159" i="30"/>
  <c r="G158" i="30" s="1"/>
  <c r="L157" i="30"/>
  <c r="L156" i="30"/>
  <c r="J156" i="30"/>
  <c r="I156" i="30"/>
  <c r="I126" i="30" s="1"/>
  <c r="L155" i="30"/>
  <c r="L154" i="30"/>
  <c r="J154" i="30"/>
  <c r="I154" i="30"/>
  <c r="I124" i="30" s="1"/>
  <c r="K153" i="30"/>
  <c r="J153" i="30"/>
  <c r="L153" i="30" s="1"/>
  <c r="H153" i="30"/>
  <c r="G153" i="30"/>
  <c r="B153" i="30"/>
  <c r="J152" i="30"/>
  <c r="L152" i="30" s="1"/>
  <c r="I152" i="30"/>
  <c r="I127" i="30" s="1"/>
  <c r="H152" i="30"/>
  <c r="H127" i="30" s="1"/>
  <c r="L151" i="30"/>
  <c r="L150" i="30"/>
  <c r="L149" i="30"/>
  <c r="K148" i="30"/>
  <c r="I148" i="30"/>
  <c r="G148" i="30"/>
  <c r="B148" i="30"/>
  <c r="L147" i="30"/>
  <c r="L146" i="30"/>
  <c r="L145" i="30"/>
  <c r="L144" i="30"/>
  <c r="K143" i="30"/>
  <c r="J143" i="30"/>
  <c r="I143" i="30"/>
  <c r="H143" i="30"/>
  <c r="L143" i="30" s="1"/>
  <c r="G143" i="30"/>
  <c r="L142" i="30"/>
  <c r="L141" i="30"/>
  <c r="L140" i="30"/>
  <c r="L139" i="30"/>
  <c r="K138" i="30"/>
  <c r="J138" i="30"/>
  <c r="L138" i="30" s="1"/>
  <c r="I138" i="30"/>
  <c r="H138" i="30"/>
  <c r="G138" i="30"/>
  <c r="L137" i="30"/>
  <c r="J136" i="30"/>
  <c r="L136" i="30" s="1"/>
  <c r="L135" i="30"/>
  <c r="L134" i="30"/>
  <c r="K133" i="30"/>
  <c r="I133" i="30"/>
  <c r="H133" i="30"/>
  <c r="G133" i="30"/>
  <c r="L130" i="30"/>
  <c r="K129" i="30"/>
  <c r="J129" i="30"/>
  <c r="I129" i="30"/>
  <c r="H129" i="30"/>
  <c r="L129" i="30" s="1"/>
  <c r="G129" i="30"/>
  <c r="G127" i="30"/>
  <c r="H126" i="30"/>
  <c r="G126" i="30"/>
  <c r="J125" i="30"/>
  <c r="I125" i="30"/>
  <c r="H125" i="30"/>
  <c r="G125" i="30"/>
  <c r="K124" i="30"/>
  <c r="J124" i="30"/>
  <c r="H124" i="30"/>
  <c r="H123" i="30" s="1"/>
  <c r="G124" i="30"/>
  <c r="K123" i="30"/>
  <c r="L119" i="30"/>
  <c r="K118" i="30"/>
  <c r="J118" i="30"/>
  <c r="I118" i="30"/>
  <c r="H118" i="30"/>
  <c r="G118" i="30"/>
  <c r="L114" i="30"/>
  <c r="K113" i="30"/>
  <c r="J113" i="30"/>
  <c r="L113" i="30" s="1"/>
  <c r="I113" i="30"/>
  <c r="H113" i="30"/>
  <c r="G113" i="30"/>
  <c r="L109" i="30"/>
  <c r="K108" i="30"/>
  <c r="J108" i="30"/>
  <c r="I108" i="30"/>
  <c r="H108" i="30"/>
  <c r="L108" i="30" s="1"/>
  <c r="G108" i="30"/>
  <c r="L104" i="30"/>
  <c r="K103" i="30"/>
  <c r="J103" i="30"/>
  <c r="I103" i="30"/>
  <c r="H103" i="30"/>
  <c r="G103" i="30"/>
  <c r="L99" i="30"/>
  <c r="K98" i="30"/>
  <c r="J98" i="30"/>
  <c r="I98" i="30"/>
  <c r="H98" i="30"/>
  <c r="G98" i="30"/>
  <c r="K93" i="30"/>
  <c r="K91" i="30" s="1"/>
  <c r="K90" i="30" s="1"/>
  <c r="K89" i="30" s="1"/>
  <c r="K88" i="30" s="1"/>
  <c r="J93" i="30"/>
  <c r="I93" i="30"/>
  <c r="H93" i="30"/>
  <c r="L93" i="30" s="1"/>
  <c r="G93" i="30"/>
  <c r="J88" i="30"/>
  <c r="I88" i="30"/>
  <c r="H88" i="30"/>
  <c r="G88" i="30"/>
  <c r="L86" i="30"/>
  <c r="G86" i="30"/>
  <c r="G70" i="30" s="1"/>
  <c r="L84" i="30"/>
  <c r="G84" i="30"/>
  <c r="K83" i="30"/>
  <c r="J83" i="30"/>
  <c r="I83" i="30"/>
  <c r="H83" i="30"/>
  <c r="L82" i="30"/>
  <c r="L81" i="30"/>
  <c r="J80" i="30"/>
  <c r="L80" i="30" s="1"/>
  <c r="I80" i="30"/>
  <c r="H80" i="30"/>
  <c r="G80" i="30"/>
  <c r="K79" i="30"/>
  <c r="G79" i="30"/>
  <c r="G78" i="30"/>
  <c r="G68" i="30" s="1"/>
  <c r="J77" i="30"/>
  <c r="I77" i="30"/>
  <c r="H77" i="30"/>
  <c r="G77" i="30"/>
  <c r="K73" i="30"/>
  <c r="J73" i="30"/>
  <c r="I73" i="30"/>
  <c r="H73" i="30"/>
  <c r="G73" i="30"/>
  <c r="K70" i="30"/>
  <c r="J70" i="30"/>
  <c r="I70" i="30"/>
  <c r="H70" i="30"/>
  <c r="L70" i="30" s="1"/>
  <c r="K69" i="30"/>
  <c r="J69" i="30"/>
  <c r="L69" i="30" s="1"/>
  <c r="I69" i="30"/>
  <c r="I7" i="30" s="1"/>
  <c r="H69" i="30"/>
  <c r="G69" i="30"/>
  <c r="K68" i="30"/>
  <c r="J68" i="30"/>
  <c r="J67" i="30" s="1"/>
  <c r="I68" i="30"/>
  <c r="H68" i="30"/>
  <c r="K67" i="30"/>
  <c r="L66" i="30"/>
  <c r="K63" i="30"/>
  <c r="J63" i="30"/>
  <c r="I63" i="30"/>
  <c r="I45" i="30" s="1"/>
  <c r="H63" i="30"/>
  <c r="G63" i="30"/>
  <c r="L60" i="30"/>
  <c r="K58" i="30"/>
  <c r="J58" i="30"/>
  <c r="I58" i="30"/>
  <c r="H58" i="30"/>
  <c r="L58" i="30" s="1"/>
  <c r="G58" i="30"/>
  <c r="L55" i="30"/>
  <c r="K54" i="30"/>
  <c r="J54" i="30"/>
  <c r="I54" i="30"/>
  <c r="H54" i="30"/>
  <c r="G54" i="30"/>
  <c r="G53" i="30"/>
  <c r="G50" i="30" s="1"/>
  <c r="L51" i="30"/>
  <c r="K50" i="30"/>
  <c r="J50" i="30"/>
  <c r="I50" i="30"/>
  <c r="H50" i="30"/>
  <c r="L50" i="30" s="1"/>
  <c r="K48" i="30"/>
  <c r="J48" i="30"/>
  <c r="I48" i="30"/>
  <c r="H48" i="30"/>
  <c r="H8" i="30" s="1"/>
  <c r="K47" i="30"/>
  <c r="J47" i="30"/>
  <c r="I47" i="30"/>
  <c r="H47" i="30"/>
  <c r="L47" i="30" s="1"/>
  <c r="G47" i="30"/>
  <c r="K46" i="30"/>
  <c r="J46" i="30"/>
  <c r="L46" i="30" s="1"/>
  <c r="I46" i="30"/>
  <c r="H46" i="30"/>
  <c r="G46" i="30"/>
  <c r="K45" i="30"/>
  <c r="H45" i="30"/>
  <c r="I41" i="30"/>
  <c r="J41" i="30" s="1"/>
  <c r="K40" i="30"/>
  <c r="H40" i="30"/>
  <c r="G40" i="30"/>
  <c r="K35" i="30"/>
  <c r="J35" i="30"/>
  <c r="I35" i="30"/>
  <c r="H35" i="30"/>
  <c r="G35" i="30"/>
  <c r="I31" i="30"/>
  <c r="J31" i="30" s="1"/>
  <c r="K30" i="30"/>
  <c r="H30" i="30"/>
  <c r="G30" i="30"/>
  <c r="J28" i="30"/>
  <c r="L28" i="30" s="1"/>
  <c r="I28" i="30"/>
  <c r="K27" i="30"/>
  <c r="I27" i="30"/>
  <c r="H27" i="30"/>
  <c r="G27" i="30"/>
  <c r="I23" i="30"/>
  <c r="I22" i="30" s="1"/>
  <c r="K22" i="30"/>
  <c r="J22" i="30"/>
  <c r="L22" i="30" s="1"/>
  <c r="H22" i="30"/>
  <c r="G22" i="30"/>
  <c r="L20" i="30"/>
  <c r="K19" i="30"/>
  <c r="J19" i="30"/>
  <c r="J16" i="30" s="1"/>
  <c r="I19" i="30"/>
  <c r="H19" i="30"/>
  <c r="G19" i="30"/>
  <c r="L18" i="30"/>
  <c r="L17" i="30"/>
  <c r="K17" i="30"/>
  <c r="K11" i="30" s="1"/>
  <c r="J17" i="30"/>
  <c r="G17" i="30"/>
  <c r="K16" i="30"/>
  <c r="I16" i="30"/>
  <c r="H16" i="30"/>
  <c r="G16" i="30"/>
  <c r="K14" i="30"/>
  <c r="K9" i="30" s="1"/>
  <c r="J14" i="30"/>
  <c r="I14" i="30"/>
  <c r="H14" i="30"/>
  <c r="G14" i="30"/>
  <c r="K13" i="30"/>
  <c r="J13" i="30"/>
  <c r="I13" i="30"/>
  <c r="H13" i="30"/>
  <c r="G13" i="30"/>
  <c r="K12" i="30"/>
  <c r="J12" i="30"/>
  <c r="J7" i="30" s="1"/>
  <c r="I12" i="30"/>
  <c r="H12" i="30"/>
  <c r="G12" i="30"/>
  <c r="G7" i="30" s="1"/>
  <c r="H11" i="30"/>
  <c r="G11" i="30"/>
  <c r="J9" i="30"/>
  <c r="K8" i="30"/>
  <c r="H6" i="30"/>
  <c r="L31" i="30" l="1"/>
  <c r="J30" i="30"/>
  <c r="L30" i="30" s="1"/>
  <c r="J11" i="30"/>
  <c r="L11" i="30" s="1"/>
  <c r="L41" i="30"/>
  <c r="J40" i="30"/>
  <c r="L40" i="30" s="1"/>
  <c r="H9" i="30"/>
  <c r="I267" i="30"/>
  <c r="L16" i="30"/>
  <c r="J27" i="30"/>
  <c r="L27" i="30" s="1"/>
  <c r="I8" i="30"/>
  <c r="G45" i="30"/>
  <c r="J45" i="30"/>
  <c r="L45" i="30" s="1"/>
  <c r="L124" i="30"/>
  <c r="J126" i="30"/>
  <c r="L126" i="30" s="1"/>
  <c r="H148" i="30"/>
  <c r="L148" i="30" s="1"/>
  <c r="I9" i="30"/>
  <c r="L161" i="30"/>
  <c r="L9" i="30"/>
  <c r="H7" i="30"/>
  <c r="L7" i="30" s="1"/>
  <c r="L68" i="30"/>
  <c r="K7" i="30"/>
  <c r="L83" i="30"/>
  <c r="G83" i="30"/>
  <c r="L103" i="30"/>
  <c r="G123" i="30"/>
  <c r="I123" i="30"/>
  <c r="L160" i="30"/>
  <c r="L171" i="30"/>
  <c r="L232" i="30"/>
  <c r="L265" i="30"/>
  <c r="L268" i="30"/>
  <c r="G267" i="30"/>
  <c r="L277" i="30"/>
  <c r="L302" i="30"/>
  <c r="G10" i="30"/>
  <c r="L19" i="30"/>
  <c r="I11" i="30"/>
  <c r="I30" i="30"/>
  <c r="I40" i="30"/>
  <c r="L54" i="30"/>
  <c r="I67" i="30"/>
  <c r="L73" i="30"/>
  <c r="L98" i="30"/>
  <c r="L118" i="30"/>
  <c r="J148" i="30"/>
  <c r="I153" i="30"/>
  <c r="G9" i="30"/>
  <c r="L166" i="30"/>
  <c r="L188" i="30"/>
  <c r="L202" i="30"/>
  <c r="L208" i="30"/>
  <c r="L262" i="30"/>
  <c r="L297" i="30"/>
  <c r="K10" i="30"/>
  <c r="K6" i="30"/>
  <c r="L247" i="30"/>
  <c r="H267" i="30"/>
  <c r="L292" i="30"/>
  <c r="G6" i="30"/>
  <c r="G67" i="30"/>
  <c r="I10" i="30"/>
  <c r="I6" i="30"/>
  <c r="H10" i="30"/>
  <c r="G48" i="30"/>
  <c r="G8" i="30" s="1"/>
  <c r="H67" i="30"/>
  <c r="L67" i="30" s="1"/>
  <c r="J133" i="30"/>
  <c r="L133" i="30" s="1"/>
  <c r="J158" i="30"/>
  <c r="L158" i="30" s="1"/>
  <c r="L249" i="30"/>
  <c r="J267" i="30"/>
  <c r="L267" i="30" s="1"/>
  <c r="L12" i="30"/>
  <c r="L48" i="30"/>
  <c r="L63" i="30"/>
  <c r="J123" i="30"/>
  <c r="L123" i="30" s="1"/>
  <c r="L263" i="30"/>
  <c r="J205" i="30"/>
  <c r="L205" i="30" s="1"/>
  <c r="J10" i="30" l="1"/>
  <c r="I5" i="30"/>
  <c r="J6" i="30"/>
  <c r="L6" i="30" s="1"/>
  <c r="H5" i="30"/>
  <c r="G5" i="30"/>
  <c r="K5" i="30"/>
  <c r="J8" i="30"/>
  <c r="L8" i="30" s="1"/>
  <c r="J5" i="30"/>
  <c r="L10" i="30"/>
  <c r="L5" i="30" l="1"/>
  <c r="D48" i="22"/>
  <c r="D47" i="22"/>
  <c r="M46" i="22"/>
  <c r="D46" i="22"/>
  <c r="E123" i="28"/>
  <c r="D123" i="28"/>
  <c r="F142" i="28"/>
  <c r="E122" i="28"/>
  <c r="D122" i="28"/>
  <c r="F132" i="28"/>
  <c r="R243" i="23"/>
  <c r="C47" i="22" s="1"/>
  <c r="H253" i="23"/>
  <c r="AC253" i="23" s="1"/>
  <c r="I252" i="23"/>
  <c r="O252" i="23" s="1"/>
  <c r="H252" i="23"/>
  <c r="AC252" i="23" s="1"/>
  <c r="H244" i="23"/>
  <c r="N244" i="23" s="1"/>
  <c r="I242" i="23"/>
  <c r="I236" i="23"/>
  <c r="I235" i="23"/>
  <c r="O235" i="23" s="1"/>
  <c r="AD235" i="23" s="1"/>
  <c r="H235" i="23"/>
  <c r="N235" i="23" s="1"/>
  <c r="H236" i="23"/>
  <c r="N236" i="23" s="1"/>
  <c r="AD225" i="23"/>
  <c r="AD226" i="23"/>
  <c r="AD231" i="23"/>
  <c r="H231" i="23"/>
  <c r="N231" i="23" s="1"/>
  <c r="I230" i="23"/>
  <c r="I228" i="23"/>
  <c r="I229" i="23"/>
  <c r="H228" i="23"/>
  <c r="I227" i="23"/>
  <c r="AD227" i="23" s="1"/>
  <c r="H227" i="23"/>
  <c r="AC227" i="23" s="1"/>
  <c r="AD216" i="23"/>
  <c r="AD218" i="23"/>
  <c r="AD219" i="23"/>
  <c r="H215" i="23"/>
  <c r="H218" i="23"/>
  <c r="AC218" i="23" s="1"/>
  <c r="I217" i="23"/>
  <c r="H217" i="23"/>
  <c r="AC217" i="23" s="1"/>
  <c r="H216" i="23"/>
  <c r="N216" i="23" s="1"/>
  <c r="N253" i="23" l="1"/>
  <c r="N252" i="23"/>
  <c r="AC244" i="23"/>
  <c r="O227" i="23"/>
  <c r="AC235" i="23"/>
  <c r="AC236" i="23"/>
  <c r="N227" i="23"/>
  <c r="N218" i="23"/>
  <c r="AC216" i="23"/>
  <c r="N217" i="23"/>
  <c r="F77" i="28" l="1"/>
  <c r="AD146" i="23"/>
  <c r="H146" i="23"/>
  <c r="N146" i="23" s="1"/>
  <c r="I145" i="23"/>
  <c r="O145" i="23" s="1"/>
  <c r="H145" i="23"/>
  <c r="N145" i="23" s="1"/>
  <c r="AC146" i="23" l="1"/>
  <c r="AC145" i="23"/>
  <c r="AD145" i="23"/>
  <c r="E14" i="28" l="1"/>
  <c r="D14" i="28"/>
  <c r="F14" i="28" l="1"/>
  <c r="D22" i="22"/>
  <c r="E41" i="28"/>
  <c r="D41" i="28"/>
  <c r="F30" i="28" l="1"/>
  <c r="F31" i="28"/>
  <c r="F27" i="28"/>
  <c r="F28" i="28"/>
  <c r="F20" i="28"/>
  <c r="F21" i="28"/>
  <c r="F22" i="28"/>
  <c r="AD106" i="23" l="1"/>
  <c r="H106" i="23"/>
  <c r="AC106" i="23" s="1"/>
  <c r="I105" i="23"/>
  <c r="H105" i="23"/>
  <c r="AD102" i="23"/>
  <c r="I101" i="23"/>
  <c r="O101" i="23" s="1"/>
  <c r="H101" i="23"/>
  <c r="N101" i="23" s="1"/>
  <c r="AD90" i="23"/>
  <c r="AD91" i="23"/>
  <c r="H91" i="23"/>
  <c r="N91" i="23" s="1"/>
  <c r="H90" i="23"/>
  <c r="N90" i="23" s="1"/>
  <c r="I89" i="23"/>
  <c r="O89" i="23" s="1"/>
  <c r="H89" i="23"/>
  <c r="N89" i="23" s="1"/>
  <c r="I77" i="23"/>
  <c r="O77" i="23" s="1"/>
  <c r="I79" i="23"/>
  <c r="O79" i="23" s="1"/>
  <c r="I81" i="23"/>
  <c r="H81" i="23"/>
  <c r="N81" i="23" s="1"/>
  <c r="AD69" i="23"/>
  <c r="AD70" i="23"/>
  <c r="AD71" i="23"/>
  <c r="L71" i="23"/>
  <c r="H71" i="23"/>
  <c r="N71" i="23" s="1"/>
  <c r="L70" i="23"/>
  <c r="H70" i="23"/>
  <c r="N70" i="23" s="1"/>
  <c r="AC91" i="23" l="1"/>
  <c r="AC90" i="23"/>
  <c r="AC89" i="23"/>
  <c r="AC101" i="23"/>
  <c r="AD101" i="23"/>
  <c r="AD89" i="23"/>
  <c r="AC71" i="23"/>
  <c r="AD79" i="23"/>
  <c r="AC70" i="23"/>
  <c r="AC81" i="23"/>
  <c r="I52" i="23" l="1"/>
  <c r="I44" i="23"/>
  <c r="I45" i="23"/>
  <c r="I47" i="23"/>
  <c r="I48" i="23"/>
  <c r="H47" i="23"/>
  <c r="AC47" i="23" s="1"/>
  <c r="I28" i="23"/>
  <c r="O28" i="23" s="1"/>
  <c r="O60" i="22"/>
  <c r="P60" i="22"/>
  <c r="Q60" i="22"/>
  <c r="D60" i="22"/>
  <c r="N47" i="23" l="1"/>
  <c r="I318" i="23"/>
  <c r="AD318" i="23" s="1"/>
  <c r="H318" i="23"/>
  <c r="AC318" i="23" s="1"/>
  <c r="H305" i="23"/>
  <c r="N305" i="23" s="1"/>
  <c r="I308" i="23"/>
  <c r="O308" i="23" s="1"/>
  <c r="H308" i="23"/>
  <c r="H309" i="23"/>
  <c r="I309" i="23"/>
  <c r="H310" i="23"/>
  <c r="I310" i="23"/>
  <c r="H311" i="23"/>
  <c r="I311" i="23"/>
  <c r="H312" i="23"/>
  <c r="H313" i="23"/>
  <c r="N313" i="23" s="1"/>
  <c r="H314" i="23"/>
  <c r="N314" i="23" s="1"/>
  <c r="H315" i="23"/>
  <c r="I315" i="23"/>
  <c r="I307" i="23"/>
  <c r="H307" i="23"/>
  <c r="I304" i="23"/>
  <c r="H304" i="23"/>
  <c r="N304" i="23" s="1"/>
  <c r="I289" i="23"/>
  <c r="O289" i="23" s="1"/>
  <c r="I290" i="23"/>
  <c r="AC304" i="23" l="1"/>
  <c r="N318" i="23"/>
  <c r="AC314" i="23"/>
  <c r="O318" i="23"/>
  <c r="AC313" i="23"/>
  <c r="M66" i="22"/>
  <c r="D66" i="22"/>
  <c r="O66" i="22"/>
  <c r="P66" i="22"/>
  <c r="Q66" i="22"/>
  <c r="E179" i="28"/>
  <c r="D179" i="28"/>
  <c r="E178" i="28"/>
  <c r="D178" i="28"/>
  <c r="E177" i="28"/>
  <c r="D177" i="28"/>
  <c r="F196" i="28"/>
  <c r="E200" i="28" l="1"/>
  <c r="D200" i="28"/>
  <c r="E199" i="28"/>
  <c r="D199" i="28"/>
  <c r="I380" i="23" l="1"/>
  <c r="O380" i="23" s="1"/>
  <c r="H380" i="23"/>
  <c r="N380" i="23" s="1"/>
  <c r="I379" i="23"/>
  <c r="O379" i="23" s="1"/>
  <c r="H379" i="23"/>
  <c r="N379" i="23" s="1"/>
  <c r="I378" i="23"/>
  <c r="O378" i="23" s="1"/>
  <c r="I377" i="23"/>
  <c r="H377" i="23"/>
  <c r="AD372" i="23"/>
  <c r="H372" i="23"/>
  <c r="I358" i="23"/>
  <c r="I357" i="23"/>
  <c r="I361" i="23"/>
  <c r="O361" i="23" s="1"/>
  <c r="H361" i="23"/>
  <c r="N361" i="23" s="1"/>
  <c r="N372" i="23" l="1"/>
  <c r="AC372" i="23"/>
  <c r="E90" i="28" l="1"/>
  <c r="D90" i="28"/>
  <c r="F94" i="28"/>
  <c r="F95" i="28"/>
  <c r="I164" i="23"/>
  <c r="H164" i="23"/>
  <c r="AC164" i="23" s="1"/>
  <c r="I163" i="23"/>
  <c r="H163" i="23"/>
  <c r="AC163" i="23" s="1"/>
  <c r="H162" i="23"/>
  <c r="H161" i="23"/>
  <c r="H160" i="23"/>
  <c r="AC160" i="23" s="1"/>
  <c r="N164" i="23" l="1"/>
  <c r="N160" i="23"/>
  <c r="N163" i="23"/>
  <c r="G70" i="28"/>
  <c r="I136" i="23" l="1"/>
  <c r="O136" i="23" s="1"/>
  <c r="H136" i="23"/>
  <c r="N136" i="23" s="1"/>
  <c r="AC116" i="23"/>
  <c r="I117" i="23"/>
  <c r="O117" i="23" s="1"/>
  <c r="H117" i="23"/>
  <c r="N117" i="23" s="1"/>
  <c r="AC136" i="23" l="1"/>
  <c r="AD136" i="23"/>
  <c r="AD117" i="23"/>
  <c r="AC117" i="23"/>
  <c r="M91" i="22" l="1"/>
  <c r="H493" i="23"/>
  <c r="N493" i="23" s="1"/>
  <c r="I492" i="23"/>
  <c r="H492" i="23"/>
  <c r="I484" i="23"/>
  <c r="AD484" i="23" s="1"/>
  <c r="H484" i="23"/>
  <c r="AC484" i="23" s="1"/>
  <c r="E250" i="28"/>
  <c r="D250" i="28"/>
  <c r="E258" i="28"/>
  <c r="D258" i="28"/>
  <c r="F261" i="28"/>
  <c r="N484" i="23" l="1"/>
  <c r="O484" i="23"/>
  <c r="I276" i="23" l="1"/>
  <c r="O276" i="23" s="1"/>
  <c r="I277" i="23"/>
  <c r="I275" i="23"/>
  <c r="O275" i="23" s="1"/>
  <c r="I272" i="23"/>
  <c r="O272" i="23" s="1"/>
  <c r="I274" i="23" l="1"/>
  <c r="AD276" i="23"/>
  <c r="I430" i="23"/>
  <c r="H430" i="23"/>
  <c r="G431" i="23"/>
  <c r="H431" i="23" s="1"/>
  <c r="I432" i="23"/>
  <c r="O432" i="23" s="1"/>
  <c r="H432" i="23"/>
  <c r="N432" i="23" s="1"/>
  <c r="I431" i="23" l="1"/>
  <c r="AC432" i="23"/>
  <c r="AD432" i="23"/>
  <c r="O386" i="23" l="1"/>
  <c r="O396" i="23"/>
  <c r="O401" i="23"/>
  <c r="O404" i="23"/>
  <c r="O405" i="23"/>
  <c r="O406" i="23"/>
  <c r="O407" i="23"/>
  <c r="O408" i="23"/>
  <c r="O417" i="23"/>
  <c r="I424" i="23"/>
  <c r="O424" i="23" s="1"/>
  <c r="D42" i="22" l="1"/>
  <c r="D41" i="22"/>
  <c r="Q42" i="22"/>
  <c r="P42" i="22"/>
  <c r="O42" i="22"/>
  <c r="N42" i="22"/>
  <c r="D114" i="28"/>
  <c r="E114" i="28"/>
  <c r="I194" i="23"/>
  <c r="H194" i="23"/>
  <c r="N194" i="23" s="1"/>
  <c r="AC194" i="23" l="1"/>
  <c r="M73" i="22" l="1"/>
  <c r="E214" i="28"/>
  <c r="D214" i="28"/>
  <c r="F219" i="28"/>
  <c r="E216" i="28"/>
  <c r="D216" i="28"/>
  <c r="H406" i="23"/>
  <c r="N406" i="23" s="1"/>
  <c r="I403" i="23"/>
  <c r="O403" i="23" s="1"/>
  <c r="F214" i="28" l="1"/>
  <c r="R349" i="23"/>
  <c r="C66" i="22" s="1"/>
  <c r="AD351" i="23"/>
  <c r="AA349" i="23" s="1"/>
  <c r="K66" i="22" s="1"/>
  <c r="I350" i="23"/>
  <c r="H350" i="23"/>
  <c r="AC350" i="23" s="1"/>
  <c r="H343" i="23"/>
  <c r="H342" i="23"/>
  <c r="I342" i="23"/>
  <c r="I341" i="23"/>
  <c r="H341" i="23"/>
  <c r="I336" i="23"/>
  <c r="I332" i="23"/>
  <c r="I333" i="23"/>
  <c r="I334" i="23"/>
  <c r="N350" i="23" l="1"/>
  <c r="AB349" i="23"/>
  <c r="L66" i="22" s="1"/>
  <c r="Z349" i="23"/>
  <c r="J66" i="22" s="1"/>
  <c r="H327" i="23"/>
  <c r="H328" i="23"/>
  <c r="I326" i="23"/>
  <c r="O326" i="23" s="1"/>
  <c r="H326" i="23"/>
  <c r="H325" i="23"/>
  <c r="I322" i="23"/>
  <c r="H322" i="23"/>
  <c r="I321" i="23"/>
  <c r="H321" i="23"/>
  <c r="AD493" i="23" l="1"/>
  <c r="AC493" i="23"/>
  <c r="AD492" i="23"/>
  <c r="R491" i="23"/>
  <c r="R486" i="23"/>
  <c r="R475" i="23"/>
  <c r="R467" i="23"/>
  <c r="AD461" i="23"/>
  <c r="R456" i="23"/>
  <c r="R447" i="23"/>
  <c r="R442" i="23"/>
  <c r="R439" i="23"/>
  <c r="R434" i="23"/>
  <c r="R428" i="23"/>
  <c r="AD424" i="23"/>
  <c r="R423" i="23"/>
  <c r="R419" i="23"/>
  <c r="AD417" i="23"/>
  <c r="AC417" i="23"/>
  <c r="R413" i="23"/>
  <c r="R409" i="23"/>
  <c r="AD406" i="23"/>
  <c r="AB405" i="23" s="1"/>
  <c r="AC406" i="23"/>
  <c r="R405" i="23"/>
  <c r="AD404" i="23"/>
  <c r="R401" i="23"/>
  <c r="R396" i="23"/>
  <c r="R386" i="23"/>
  <c r="R381" i="23"/>
  <c r="AD380" i="23"/>
  <c r="AC380" i="23"/>
  <c r="AD378" i="23"/>
  <c r="R374" i="23"/>
  <c r="AD373" i="23"/>
  <c r="AD371" i="23"/>
  <c r="AD370" i="23"/>
  <c r="AD369" i="23"/>
  <c r="AD368" i="23"/>
  <c r="AD367" i="23"/>
  <c r="R366" i="23"/>
  <c r="AD361" i="23"/>
  <c r="AC361" i="23"/>
  <c r="R356" i="23"/>
  <c r="AD354" i="23"/>
  <c r="R352" i="23"/>
  <c r="AD343" i="23"/>
  <c r="AC343" i="23"/>
  <c r="AD342" i="23"/>
  <c r="AC342" i="23"/>
  <c r="AD341" i="23"/>
  <c r="AC341" i="23"/>
  <c r="R340" i="23"/>
  <c r="R330" i="23"/>
  <c r="AD328" i="23"/>
  <c r="AD326" i="23"/>
  <c r="R324" i="23"/>
  <c r="AD323" i="23"/>
  <c r="AC323" i="23"/>
  <c r="R320" i="23"/>
  <c r="R316" i="23"/>
  <c r="C60" i="22" s="1"/>
  <c r="AD308" i="23"/>
  <c r="R306" i="23"/>
  <c r="R299" i="23"/>
  <c r="R292" i="23"/>
  <c r="AD291" i="23"/>
  <c r="AD289" i="23"/>
  <c r="R286" i="23"/>
  <c r="R278" i="23"/>
  <c r="AD275" i="23"/>
  <c r="R274" i="23"/>
  <c r="AD273" i="23"/>
  <c r="AC273" i="23"/>
  <c r="AD272" i="23"/>
  <c r="AD271" i="23"/>
  <c r="AC271" i="23"/>
  <c r="R266" i="23"/>
  <c r="R261" i="23"/>
  <c r="R257" i="23"/>
  <c r="R254" i="23"/>
  <c r="C48" i="22" s="1"/>
  <c r="AD250" i="23"/>
  <c r="AD249" i="23"/>
  <c r="AD248" i="23"/>
  <c r="AD247" i="23"/>
  <c r="AD246" i="23"/>
  <c r="AD245" i="23"/>
  <c r="R239" i="23"/>
  <c r="C46" i="22" s="1"/>
  <c r="AD238" i="23"/>
  <c r="AD237" i="23"/>
  <c r="R232" i="23"/>
  <c r="AC231" i="23"/>
  <c r="R220" i="23"/>
  <c r="R211" i="23"/>
  <c r="R209" i="23"/>
  <c r="C42" i="22" s="1"/>
  <c r="R200" i="23"/>
  <c r="C41" i="22" s="1"/>
  <c r="AB196" i="23"/>
  <c r="AA196" i="23"/>
  <c r="Z196" i="23"/>
  <c r="R196" i="23"/>
  <c r="R189" i="23"/>
  <c r="R184" i="23"/>
  <c r="R176" i="23"/>
  <c r="R172" i="23"/>
  <c r="R166" i="23"/>
  <c r="R158" i="23"/>
  <c r="R153" i="23"/>
  <c r="R148" i="23"/>
  <c r="R141" i="23"/>
  <c r="R138" i="23"/>
  <c r="R132" i="23"/>
  <c r="R119" i="23"/>
  <c r="AD116" i="23"/>
  <c r="R113" i="23"/>
  <c r="R107" i="23"/>
  <c r="R103" i="23"/>
  <c r="C22" i="22" s="1"/>
  <c r="R93" i="23"/>
  <c r="R83" i="23"/>
  <c r="AD77" i="23"/>
  <c r="R73" i="23"/>
  <c r="R64" i="23"/>
  <c r="R61" i="23"/>
  <c r="R56" i="23"/>
  <c r="R49" i="23"/>
  <c r="AD48" i="23"/>
  <c r="AD46" i="23"/>
  <c r="AD45" i="23"/>
  <c r="R42" i="23"/>
  <c r="R36" i="23"/>
  <c r="R25" i="23"/>
  <c r="R16" i="23"/>
  <c r="R6" i="23"/>
  <c r="Y5" i="23"/>
  <c r="X5" i="23"/>
  <c r="H48" i="23"/>
  <c r="R496" i="23" l="1"/>
  <c r="AB491" i="23"/>
  <c r="Z405" i="23"/>
  <c r="AA405" i="23"/>
  <c r="AB366" i="23"/>
  <c r="N48" i="23"/>
  <c r="AC48" i="23"/>
  <c r="Z401" i="23"/>
  <c r="AB401" i="23"/>
  <c r="AA401" i="23"/>
  <c r="AA491" i="23"/>
  <c r="Z491" i="23"/>
  <c r="Z274" i="23"/>
  <c r="AB274" i="23"/>
  <c r="AA274" i="23"/>
  <c r="AA366" i="23"/>
  <c r="Z366" i="23"/>
  <c r="Q91" i="22" l="1"/>
  <c r="P91" i="22"/>
  <c r="O91" i="22"/>
  <c r="Q90" i="22"/>
  <c r="P90" i="22"/>
  <c r="O90" i="22"/>
  <c r="Q89" i="22"/>
  <c r="P89" i="22"/>
  <c r="O89" i="22"/>
  <c r="Q88" i="22"/>
  <c r="P88" i="22"/>
  <c r="O88" i="22"/>
  <c r="Q87" i="22"/>
  <c r="P87" i="22"/>
  <c r="O87" i="22"/>
  <c r="Q85" i="22"/>
  <c r="P85" i="22"/>
  <c r="O85" i="22"/>
  <c r="Q84" i="22"/>
  <c r="P84" i="22"/>
  <c r="O84" i="22"/>
  <c r="Q83" i="22"/>
  <c r="P83" i="22"/>
  <c r="O83" i="22"/>
  <c r="Q82" i="22"/>
  <c r="P82" i="22"/>
  <c r="O82" i="22"/>
  <c r="Q80" i="22"/>
  <c r="P80" i="22"/>
  <c r="O80" i="22"/>
  <c r="Q79" i="22"/>
  <c r="P79" i="22"/>
  <c r="O79" i="22"/>
  <c r="Q77" i="22"/>
  <c r="P77" i="22"/>
  <c r="O77" i="22"/>
  <c r="Q76" i="22"/>
  <c r="P76" i="22"/>
  <c r="O76" i="22"/>
  <c r="Q75" i="22"/>
  <c r="P75" i="22"/>
  <c r="O75" i="22"/>
  <c r="Q74" i="22"/>
  <c r="P74" i="22"/>
  <c r="O74" i="22"/>
  <c r="Q73" i="22"/>
  <c r="P73" i="22"/>
  <c r="O73" i="22"/>
  <c r="Q71" i="22"/>
  <c r="P71" i="22"/>
  <c r="O71" i="22"/>
  <c r="Q70" i="22"/>
  <c r="P70" i="22"/>
  <c r="O70" i="22"/>
  <c r="Q69" i="22"/>
  <c r="P69" i="22"/>
  <c r="O69" i="22"/>
  <c r="Q68" i="22"/>
  <c r="P68" i="22"/>
  <c r="O68" i="22"/>
  <c r="Q65" i="22"/>
  <c r="P65" i="22"/>
  <c r="O65" i="22"/>
  <c r="Q64" i="22"/>
  <c r="P64" i="22"/>
  <c r="O64" i="22"/>
  <c r="Q63" i="22"/>
  <c r="P63" i="22"/>
  <c r="O63" i="22"/>
  <c r="Q62" i="22"/>
  <c r="P62" i="22"/>
  <c r="O62" i="22"/>
  <c r="Q59" i="22"/>
  <c r="P59" i="22"/>
  <c r="O59" i="22"/>
  <c r="Q58" i="22"/>
  <c r="P58" i="22"/>
  <c r="O58" i="22"/>
  <c r="Q57" i="22"/>
  <c r="P57" i="22"/>
  <c r="O57" i="22"/>
  <c r="Q56" i="22"/>
  <c r="P56" i="22"/>
  <c r="O56" i="22"/>
  <c r="Q55" i="22"/>
  <c r="P55" i="22"/>
  <c r="O55" i="22"/>
  <c r="Q53" i="22"/>
  <c r="P53" i="22"/>
  <c r="O53" i="22"/>
  <c r="Q52" i="22"/>
  <c r="P52" i="22"/>
  <c r="O52" i="22"/>
  <c r="Q51" i="22"/>
  <c r="P51" i="22"/>
  <c r="O51" i="22"/>
  <c r="Q50" i="22"/>
  <c r="P50" i="22"/>
  <c r="O50" i="22"/>
  <c r="Q48" i="22"/>
  <c r="P48" i="22"/>
  <c r="O48" i="22"/>
  <c r="Q47" i="22"/>
  <c r="P47" i="22"/>
  <c r="O47" i="22"/>
  <c r="Q46" i="22"/>
  <c r="P46" i="22"/>
  <c r="O46" i="22"/>
  <c r="Q45" i="22"/>
  <c r="P45" i="22"/>
  <c r="O45" i="22"/>
  <c r="Q44" i="22"/>
  <c r="P44" i="22"/>
  <c r="O44" i="22"/>
  <c r="Q41" i="22"/>
  <c r="P41" i="22"/>
  <c r="O41" i="22"/>
  <c r="Q40" i="22"/>
  <c r="P40" i="22"/>
  <c r="O40" i="22"/>
  <c r="Q39" i="22"/>
  <c r="P39" i="22"/>
  <c r="O39" i="22"/>
  <c r="Q37" i="22" l="1"/>
  <c r="P37" i="22"/>
  <c r="O37" i="22"/>
  <c r="Q36" i="22"/>
  <c r="P36" i="22"/>
  <c r="O36" i="22"/>
  <c r="Q35" i="22"/>
  <c r="P35" i="22"/>
  <c r="O35" i="22"/>
  <c r="Q34" i="22"/>
  <c r="P34" i="22"/>
  <c r="O34" i="22"/>
  <c r="Q32" i="22"/>
  <c r="P32" i="22"/>
  <c r="O32" i="22"/>
  <c r="Q31" i="22"/>
  <c r="P31" i="22"/>
  <c r="O31" i="22"/>
  <c r="Q30" i="22"/>
  <c r="P30" i="22"/>
  <c r="O30" i="22"/>
  <c r="Q29" i="22"/>
  <c r="P29" i="22"/>
  <c r="O29" i="22"/>
  <c r="Q27" i="22"/>
  <c r="P27" i="22"/>
  <c r="O27" i="22"/>
  <c r="N27" i="22"/>
  <c r="Q26" i="22"/>
  <c r="P26" i="22"/>
  <c r="O26" i="22"/>
  <c r="Q25" i="22"/>
  <c r="P25" i="22"/>
  <c r="O25" i="22"/>
  <c r="Q24" i="22"/>
  <c r="P24" i="22"/>
  <c r="O24" i="22"/>
  <c r="Q22" i="22"/>
  <c r="P22" i="22"/>
  <c r="O22" i="22"/>
  <c r="Q21" i="22"/>
  <c r="P21" i="22"/>
  <c r="O21" i="22"/>
  <c r="Q20" i="22"/>
  <c r="P20" i="22"/>
  <c r="O20" i="22"/>
  <c r="Q19" i="22"/>
  <c r="P19" i="22"/>
  <c r="O19" i="22"/>
  <c r="Q17" i="22"/>
  <c r="P17" i="22"/>
  <c r="O17" i="22"/>
  <c r="Q16" i="22"/>
  <c r="P16" i="22"/>
  <c r="O16" i="22"/>
  <c r="Q15" i="22"/>
  <c r="P15" i="22"/>
  <c r="O15" i="22"/>
  <c r="Q14" i="22"/>
  <c r="P14" i="22"/>
  <c r="O14" i="22"/>
  <c r="Q13" i="22"/>
  <c r="P13" i="22"/>
  <c r="O13" i="22"/>
  <c r="Q12" i="22"/>
  <c r="P12" i="22"/>
  <c r="O12" i="22"/>
  <c r="Q11" i="22"/>
  <c r="P11" i="22"/>
  <c r="O11" i="22"/>
  <c r="G263" i="28"/>
  <c r="F263" i="28"/>
  <c r="G262" i="28"/>
  <c r="F262" i="28"/>
  <c r="F260" i="28"/>
  <c r="F259" i="28"/>
  <c r="G258" i="28"/>
  <c r="F257" i="28"/>
  <c r="F256" i="28"/>
  <c r="G255" i="28"/>
  <c r="E255" i="28"/>
  <c r="D255" i="28"/>
  <c r="F254" i="28"/>
  <c r="F253" i="28"/>
  <c r="K252" i="28"/>
  <c r="F252" i="28"/>
  <c r="G251" i="28"/>
  <c r="N87" i="22" s="1"/>
  <c r="E251" i="28"/>
  <c r="D251" i="28"/>
  <c r="E249" i="28"/>
  <c r="D249" i="28"/>
  <c r="K248" i="28"/>
  <c r="E248" i="28"/>
  <c r="D248" i="28"/>
  <c r="J247" i="28"/>
  <c r="Q86" i="22" s="1"/>
  <c r="I247" i="28"/>
  <c r="P86" i="22" s="1"/>
  <c r="H247" i="28"/>
  <c r="G246" i="28"/>
  <c r="F246" i="28"/>
  <c r="G245" i="28"/>
  <c r="N84" i="22" s="1"/>
  <c r="F245" i="28"/>
  <c r="F244" i="28"/>
  <c r="F243" i="28"/>
  <c r="G242" i="28"/>
  <c r="E242" i="28"/>
  <c r="D242" i="28"/>
  <c r="G241" i="28"/>
  <c r="N82" i="22" s="1"/>
  <c r="F241" i="28"/>
  <c r="E240" i="28"/>
  <c r="D240" i="28"/>
  <c r="K239" i="28"/>
  <c r="E239" i="28"/>
  <c r="D239" i="28"/>
  <c r="J238" i="28"/>
  <c r="Q81" i="22" s="1"/>
  <c r="I238" i="28"/>
  <c r="P81" i="22" s="1"/>
  <c r="H238" i="28"/>
  <c r="O81" i="22" s="1"/>
  <c r="G237" i="28"/>
  <c r="F237" i="28"/>
  <c r="F236" i="28"/>
  <c r="F235" i="28"/>
  <c r="G234" i="28"/>
  <c r="N79" i="22" s="1"/>
  <c r="E234" i="28"/>
  <c r="D234" i="28"/>
  <c r="E233" i="28"/>
  <c r="D233" i="28"/>
  <c r="E232" i="28"/>
  <c r="D232" i="28"/>
  <c r="J231" i="28"/>
  <c r="Q78" i="22" s="1"/>
  <c r="I231" i="28"/>
  <c r="H231" i="28"/>
  <c r="O78" i="22" s="1"/>
  <c r="F230" i="28"/>
  <c r="G229" i="28"/>
  <c r="E229" i="28"/>
  <c r="D229" i="28"/>
  <c r="F228" i="28"/>
  <c r="G227" i="28"/>
  <c r="E227" i="28"/>
  <c r="D227" i="28"/>
  <c r="F226" i="28"/>
  <c r="F225" i="28"/>
  <c r="G224" i="28"/>
  <c r="E224" i="28"/>
  <c r="D224" i="28"/>
  <c r="F223" i="28"/>
  <c r="F222" i="28"/>
  <c r="K221" i="28"/>
  <c r="F221" i="28"/>
  <c r="G220" i="28"/>
  <c r="E220" i="28"/>
  <c r="D220" i="28"/>
  <c r="F218" i="28"/>
  <c r="F217" i="28"/>
  <c r="G216" i="28"/>
  <c r="E215" i="28"/>
  <c r="D215" i="28"/>
  <c r="E213" i="28"/>
  <c r="D213" i="28"/>
  <c r="E212" i="28"/>
  <c r="D212" i="28"/>
  <c r="J211" i="28"/>
  <c r="Q72" i="22" s="1"/>
  <c r="I211" i="28"/>
  <c r="H211" i="28"/>
  <c r="O72" i="22" s="1"/>
  <c r="G210" i="28"/>
  <c r="F210" i="28"/>
  <c r="G209" i="28"/>
  <c r="N70" i="22" s="1"/>
  <c r="F209" i="28"/>
  <c r="F208" i="28"/>
  <c r="K207" i="28"/>
  <c r="F207" i="28"/>
  <c r="G206" i="28"/>
  <c r="E206" i="28"/>
  <c r="D206" i="28"/>
  <c r="F205" i="28"/>
  <c r="F204" i="28"/>
  <c r="K203" i="28"/>
  <c r="F203" i="28"/>
  <c r="G202" i="28"/>
  <c r="N68" i="22" s="1"/>
  <c r="E202" i="28"/>
  <c r="D202" i="28"/>
  <c r="E201" i="28"/>
  <c r="D201" i="28"/>
  <c r="K199" i="28"/>
  <c r="J198" i="28"/>
  <c r="Q67" i="22" s="1"/>
  <c r="I198" i="28"/>
  <c r="P67" i="22" s="1"/>
  <c r="H198" i="28"/>
  <c r="O67" i="22" s="1"/>
  <c r="F197" i="28"/>
  <c r="F195" i="28"/>
  <c r="F194" i="28"/>
  <c r="G193" i="28"/>
  <c r="N66" i="22" s="1"/>
  <c r="R66" i="22" s="1"/>
  <c r="E193" i="28"/>
  <c r="D193" i="28"/>
  <c r="K192" i="28"/>
  <c r="F192" i="28"/>
  <c r="G191" i="28"/>
  <c r="N65" i="22" s="1"/>
  <c r="E191" i="28"/>
  <c r="D191" i="28"/>
  <c r="F190" i="28"/>
  <c r="F189" i="28"/>
  <c r="G188" i="28"/>
  <c r="E188" i="28"/>
  <c r="D188" i="28"/>
  <c r="F187" i="28"/>
  <c r="F186" i="28"/>
  <c r="F185" i="28"/>
  <c r="G184" i="28"/>
  <c r="E184" i="28"/>
  <c r="D184" i="28"/>
  <c r="F183" i="28"/>
  <c r="F182" i="28"/>
  <c r="K181" i="28"/>
  <c r="F181" i="28"/>
  <c r="G180" i="28"/>
  <c r="N62" i="22" s="1"/>
  <c r="E180" i="28"/>
  <c r="D180" i="28"/>
  <c r="E176" i="28"/>
  <c r="D176" i="28"/>
  <c r="J175" i="28"/>
  <c r="Q61" i="22" s="1"/>
  <c r="I175" i="28"/>
  <c r="P61" i="22" s="1"/>
  <c r="H175" i="28"/>
  <c r="O61" i="22" s="1"/>
  <c r="F174" i="28"/>
  <c r="F173" i="28"/>
  <c r="G172" i="28"/>
  <c r="N60" i="22" s="1"/>
  <c r="E172" i="28"/>
  <c r="D172" i="28"/>
  <c r="F171" i="28"/>
  <c r="F170" i="28"/>
  <c r="F169" i="28"/>
  <c r="K168" i="28"/>
  <c r="F168" i="28"/>
  <c r="G167" i="28"/>
  <c r="N59" i="22" s="1"/>
  <c r="E167" i="28"/>
  <c r="D167" i="28"/>
  <c r="F166" i="28"/>
  <c r="K165" i="28"/>
  <c r="F165" i="28"/>
  <c r="G164" i="28"/>
  <c r="E164" i="28"/>
  <c r="D164" i="28"/>
  <c r="K162" i="28"/>
  <c r="F162" i="28"/>
  <c r="G161" i="28"/>
  <c r="E161" i="28"/>
  <c r="D161" i="28"/>
  <c r="F160" i="28"/>
  <c r="F159" i="28"/>
  <c r="K158" i="28"/>
  <c r="F158" i="28"/>
  <c r="G157" i="28"/>
  <c r="N56" i="22" s="1"/>
  <c r="E157" i="28"/>
  <c r="D157" i="28"/>
  <c r="G156" i="28"/>
  <c r="F156" i="28"/>
  <c r="E155" i="28"/>
  <c r="D155" i="28"/>
  <c r="E154" i="28"/>
  <c r="D154" i="28"/>
  <c r="E153" i="28"/>
  <c r="D153" i="28"/>
  <c r="E152" i="28"/>
  <c r="D152" i="28"/>
  <c r="J151" i="28"/>
  <c r="Q54" i="22" s="1"/>
  <c r="I151" i="28"/>
  <c r="P54" i="22" s="1"/>
  <c r="H151" i="28"/>
  <c r="O54" i="22" s="1"/>
  <c r="G150" i="28"/>
  <c r="N53" i="22" s="1"/>
  <c r="F150" i="28"/>
  <c r="G149" i="28"/>
  <c r="F149" i="28"/>
  <c r="G148" i="28"/>
  <c r="N51" i="22" s="1"/>
  <c r="F148" i="28"/>
  <c r="G147" i="28"/>
  <c r="F147" i="28"/>
  <c r="J146" i="28"/>
  <c r="Q49" i="22" s="1"/>
  <c r="I146" i="28"/>
  <c r="P49" i="22" s="1"/>
  <c r="H146" i="28"/>
  <c r="O49" i="22" s="1"/>
  <c r="E146" i="28"/>
  <c r="D146" i="28"/>
  <c r="F145" i="28"/>
  <c r="G144" i="28"/>
  <c r="N48" i="22" s="1"/>
  <c r="E144" i="28"/>
  <c r="D144" i="28"/>
  <c r="F143" i="28"/>
  <c r="F141" i="28"/>
  <c r="F140" i="28"/>
  <c r="G139" i="28"/>
  <c r="E139" i="28"/>
  <c r="D139" i="28"/>
  <c r="F138" i="28"/>
  <c r="F137" i="28"/>
  <c r="F136" i="28"/>
  <c r="G135" i="28"/>
  <c r="E135" i="28"/>
  <c r="D135" i="28"/>
  <c r="F134" i="28"/>
  <c r="F133" i="28"/>
  <c r="F131" i="28"/>
  <c r="G130" i="28"/>
  <c r="E130" i="28"/>
  <c r="D130" i="28"/>
  <c r="F129" i="28"/>
  <c r="F128" i="28"/>
  <c r="F127" i="28"/>
  <c r="F126" i="28"/>
  <c r="G125" i="28"/>
  <c r="E125" i="28"/>
  <c r="D125" i="28"/>
  <c r="E124" i="28"/>
  <c r="D124" i="28"/>
  <c r="E121" i="28"/>
  <c r="D121" i="28"/>
  <c r="J120" i="28"/>
  <c r="Q43" i="22" s="1"/>
  <c r="I120" i="28"/>
  <c r="P43" i="22" s="1"/>
  <c r="H120" i="28"/>
  <c r="F119" i="28"/>
  <c r="F118" i="28"/>
  <c r="G117" i="28"/>
  <c r="E117" i="28"/>
  <c r="D117" i="28"/>
  <c r="F116" i="28"/>
  <c r="F115" i="28"/>
  <c r="G114" i="28"/>
  <c r="F113" i="28"/>
  <c r="F112" i="28"/>
  <c r="G111" i="28"/>
  <c r="E111" i="28"/>
  <c r="D111" i="28"/>
  <c r="E110" i="28"/>
  <c r="D110" i="28"/>
  <c r="E109" i="28"/>
  <c r="D109" i="28"/>
  <c r="E108" i="28"/>
  <c r="D108" i="28"/>
  <c r="J107" i="28"/>
  <c r="Q38" i="22" s="1"/>
  <c r="I107" i="28"/>
  <c r="P38" i="22" s="1"/>
  <c r="H107" i="28"/>
  <c r="O38" i="22" s="1"/>
  <c r="F106" i="28"/>
  <c r="F105" i="28"/>
  <c r="G104" i="28"/>
  <c r="E104" i="28"/>
  <c r="D104" i="28"/>
  <c r="F103" i="28"/>
  <c r="F102" i="28"/>
  <c r="F101" i="28"/>
  <c r="G100" i="28"/>
  <c r="E100" i="28"/>
  <c r="D100" i="28"/>
  <c r="F99" i="28"/>
  <c r="F98" i="28"/>
  <c r="F97" i="28"/>
  <c r="G96" i="28"/>
  <c r="E96" i="28"/>
  <c r="D96" i="28"/>
  <c r="F93" i="28"/>
  <c r="G92" i="28"/>
  <c r="K92" i="28" s="1"/>
  <c r="E92" i="28"/>
  <c r="D92" i="28"/>
  <c r="E91" i="28"/>
  <c r="D91" i="28"/>
  <c r="E89" i="28"/>
  <c r="D89" i="28"/>
  <c r="J88" i="28"/>
  <c r="Q33" i="22" s="1"/>
  <c r="I88" i="28"/>
  <c r="P33" i="22" s="1"/>
  <c r="H88" i="28"/>
  <c r="O33" i="22" s="1"/>
  <c r="G87" i="28"/>
  <c r="K87" i="28" s="1"/>
  <c r="F87" i="28"/>
  <c r="F86" i="28"/>
  <c r="F85" i="28"/>
  <c r="K84" i="28"/>
  <c r="F84" i="28"/>
  <c r="G83" i="28"/>
  <c r="K83" i="28" s="1"/>
  <c r="E83" i="28"/>
  <c r="D83" i="28"/>
  <c r="F82" i="28"/>
  <c r="F81" i="28"/>
  <c r="K80" i="28"/>
  <c r="F80" i="28"/>
  <c r="G79" i="28"/>
  <c r="E79" i="28"/>
  <c r="D79" i="28"/>
  <c r="F78" i="28"/>
  <c r="F76" i="28"/>
  <c r="G75" i="28"/>
  <c r="E75" i="28"/>
  <c r="D75" i="28"/>
  <c r="E74" i="28"/>
  <c r="E9" i="28" s="1"/>
  <c r="D74" i="28"/>
  <c r="E73" i="28"/>
  <c r="D73" i="28"/>
  <c r="E72" i="28"/>
  <c r="D72" i="28"/>
  <c r="J71" i="28"/>
  <c r="Q28" i="22" s="1"/>
  <c r="I71" i="28"/>
  <c r="P28" i="22" s="1"/>
  <c r="H71" i="28"/>
  <c r="O28" i="22" s="1"/>
  <c r="K70" i="28"/>
  <c r="F70" i="28"/>
  <c r="F69" i="28"/>
  <c r="F68" i="28"/>
  <c r="G67" i="28"/>
  <c r="N26" i="22" s="1"/>
  <c r="E67" i="28"/>
  <c r="D67" i="28"/>
  <c r="F66" i="28"/>
  <c r="F65" i="28"/>
  <c r="F64" i="28"/>
  <c r="G63" i="28"/>
  <c r="K63" i="28" s="1"/>
  <c r="E63" i="28"/>
  <c r="D63" i="28"/>
  <c r="F62" i="28"/>
  <c r="F61" i="28"/>
  <c r="G60" i="28"/>
  <c r="E60" i="28"/>
  <c r="D60" i="28"/>
  <c r="E59" i="28"/>
  <c r="E10" i="28" s="1"/>
  <c r="D59" i="28"/>
  <c r="D10" i="28" s="1"/>
  <c r="E58" i="28"/>
  <c r="D58" i="28"/>
  <c r="K57" i="28"/>
  <c r="E57" i="28"/>
  <c r="D57" i="28"/>
  <c r="J56" i="28"/>
  <c r="Q23" i="22" s="1"/>
  <c r="I56" i="28"/>
  <c r="P23" i="22" s="1"/>
  <c r="H56" i="28"/>
  <c r="O23" i="22" s="1"/>
  <c r="F55" i="28"/>
  <c r="F54" i="28"/>
  <c r="F53" i="28"/>
  <c r="G52" i="28"/>
  <c r="N22" i="22" s="1"/>
  <c r="E52" i="28"/>
  <c r="D52" i="28"/>
  <c r="F51" i="28"/>
  <c r="F50" i="28"/>
  <c r="G49" i="28"/>
  <c r="K49" i="28" s="1"/>
  <c r="E49" i="28"/>
  <c r="D49" i="28"/>
  <c r="F48" i="28"/>
  <c r="F47" i="28"/>
  <c r="F46" i="28"/>
  <c r="G45" i="28"/>
  <c r="E45" i="28"/>
  <c r="D45" i="28"/>
  <c r="F44" i="28"/>
  <c r="F43" i="28"/>
  <c r="G42" i="28"/>
  <c r="E42" i="28"/>
  <c r="D42" i="28"/>
  <c r="E40" i="28"/>
  <c r="D40" i="28"/>
  <c r="E39" i="28"/>
  <c r="D39" i="28"/>
  <c r="J38" i="28"/>
  <c r="Q18" i="22" s="1"/>
  <c r="I38" i="28"/>
  <c r="P18" i="22" s="1"/>
  <c r="H38" i="28"/>
  <c r="O18" i="22" s="1"/>
  <c r="F37" i="28"/>
  <c r="F36" i="28"/>
  <c r="G35" i="28"/>
  <c r="E35" i="28"/>
  <c r="D35" i="28"/>
  <c r="F34" i="28"/>
  <c r="F33" i="28"/>
  <c r="G32" i="28"/>
  <c r="E32" i="28"/>
  <c r="D32" i="28"/>
  <c r="G29" i="28"/>
  <c r="K29" i="28" s="1"/>
  <c r="E29" i="28"/>
  <c r="D29" i="28"/>
  <c r="G26" i="28"/>
  <c r="E26" i="28"/>
  <c r="D26" i="28"/>
  <c r="F24" i="28"/>
  <c r="G23" i="28"/>
  <c r="E23" i="28"/>
  <c r="D23" i="28"/>
  <c r="G19" i="28"/>
  <c r="K19" i="28" s="1"/>
  <c r="E19" i="28"/>
  <c r="D19" i="28"/>
  <c r="F18" i="28"/>
  <c r="F17" i="28"/>
  <c r="F16" i="28"/>
  <c r="G15" i="28"/>
  <c r="E15" i="28"/>
  <c r="D15" i="28"/>
  <c r="E13" i="28"/>
  <c r="D13" i="28"/>
  <c r="E12" i="28"/>
  <c r="D12" i="28"/>
  <c r="J11" i="28"/>
  <c r="I11" i="28"/>
  <c r="H11" i="28"/>
  <c r="K7" i="28"/>
  <c r="D8" i="28" l="1"/>
  <c r="D7" i="28"/>
  <c r="D9" i="28"/>
  <c r="E8" i="28"/>
  <c r="J6" i="28"/>
  <c r="E7" i="28"/>
  <c r="P10" i="22"/>
  <c r="I6" i="28"/>
  <c r="O10" i="22"/>
  <c r="H6" i="28"/>
  <c r="D211" i="28"/>
  <c r="N35" i="22"/>
  <c r="K96" i="28"/>
  <c r="N37" i="22"/>
  <c r="K104" i="28"/>
  <c r="N36" i="22"/>
  <c r="K100" i="28"/>
  <c r="E247" i="28"/>
  <c r="F250" i="28"/>
  <c r="F96" i="28"/>
  <c r="F110" i="28"/>
  <c r="D11" i="28"/>
  <c r="F108" i="28"/>
  <c r="E211" i="28"/>
  <c r="F92" i="28"/>
  <c r="F73" i="28"/>
  <c r="E231" i="28"/>
  <c r="F42" i="28"/>
  <c r="D238" i="28"/>
  <c r="D175" i="28"/>
  <c r="E238" i="28"/>
  <c r="F19" i="28"/>
  <c r="F121" i="28"/>
  <c r="F125" i="28"/>
  <c r="K144" i="28"/>
  <c r="F155" i="28"/>
  <c r="F234" i="28"/>
  <c r="F59" i="28"/>
  <c r="E71" i="28"/>
  <c r="F91" i="28"/>
  <c r="K150" i="28"/>
  <c r="F200" i="28"/>
  <c r="F233" i="28"/>
  <c r="F23" i="28"/>
  <c r="F26" i="28"/>
  <c r="D88" i="28"/>
  <c r="F114" i="28"/>
  <c r="F122" i="28"/>
  <c r="F124" i="28"/>
  <c r="G151" i="28"/>
  <c r="K151" i="28" s="1"/>
  <c r="F180" i="28"/>
  <c r="F248" i="28"/>
  <c r="F258" i="28"/>
  <c r="F35" i="28"/>
  <c r="F49" i="28"/>
  <c r="F52" i="28"/>
  <c r="F58" i="28"/>
  <c r="F60" i="28"/>
  <c r="F67" i="28"/>
  <c r="F75" i="28"/>
  <c r="F83" i="28"/>
  <c r="F89" i="28"/>
  <c r="F123" i="28"/>
  <c r="F172" i="28"/>
  <c r="F206" i="28"/>
  <c r="F220" i="28"/>
  <c r="G231" i="28"/>
  <c r="N78" i="22" s="1"/>
  <c r="F240" i="28"/>
  <c r="K241" i="28"/>
  <c r="K245" i="28"/>
  <c r="G198" i="28"/>
  <c r="K198" i="28" s="1"/>
  <c r="K201" i="28" s="1"/>
  <c r="F239" i="28"/>
  <c r="F40" i="28"/>
  <c r="F144" i="28"/>
  <c r="F157" i="28"/>
  <c r="F201" i="28"/>
  <c r="F224" i="28"/>
  <c r="F249" i="28"/>
  <c r="F251" i="28"/>
  <c r="Q10" i="22"/>
  <c r="Q9" i="22" s="1"/>
  <c r="F15" i="28"/>
  <c r="N17" i="22"/>
  <c r="K35" i="28"/>
  <c r="F177" i="28"/>
  <c r="K188" i="28"/>
  <c r="N64" i="22"/>
  <c r="G11" i="28"/>
  <c r="N10" i="22" s="1"/>
  <c r="N11" i="22"/>
  <c r="K23" i="28"/>
  <c r="N13" i="22"/>
  <c r="K26" i="28"/>
  <c r="N14" i="22"/>
  <c r="F29" i="28"/>
  <c r="F104" i="28"/>
  <c r="K147" i="28"/>
  <c r="N50" i="22"/>
  <c r="G146" i="28"/>
  <c r="N75" i="22"/>
  <c r="K224" i="28"/>
  <c r="K258" i="28"/>
  <c r="N89" i="22"/>
  <c r="G247" i="28"/>
  <c r="N86" i="22" s="1"/>
  <c r="K262" i="28"/>
  <c r="N90" i="22"/>
  <c r="F13" i="28"/>
  <c r="D38" i="28"/>
  <c r="N24" i="22"/>
  <c r="K60" i="28"/>
  <c r="N29" i="22"/>
  <c r="K75" i="28"/>
  <c r="D107" i="28"/>
  <c r="N40" i="22"/>
  <c r="K114" i="28"/>
  <c r="G120" i="28"/>
  <c r="N43" i="22" s="1"/>
  <c r="N45" i="22"/>
  <c r="K139" i="28"/>
  <c r="N47" i="22"/>
  <c r="N74" i="22"/>
  <c r="K220" i="28"/>
  <c r="K223" i="28" s="1"/>
  <c r="E11" i="28"/>
  <c r="K32" i="28"/>
  <c r="N16" i="22"/>
  <c r="E38" i="28"/>
  <c r="N19" i="22"/>
  <c r="K42" i="28"/>
  <c r="N44" i="22"/>
  <c r="K125" i="28"/>
  <c r="F63" i="28"/>
  <c r="F72" i="28"/>
  <c r="F79" i="28"/>
  <c r="F109" i="28"/>
  <c r="F117" i="28"/>
  <c r="O43" i="22"/>
  <c r="F135" i="28"/>
  <c r="K149" i="28"/>
  <c r="N52" i="22"/>
  <c r="F161" i="28"/>
  <c r="F184" i="28"/>
  <c r="F216" i="28"/>
  <c r="F255" i="28"/>
  <c r="F12" i="28"/>
  <c r="F39" i="28"/>
  <c r="F45" i="28"/>
  <c r="F74" i="28"/>
  <c r="G71" i="28"/>
  <c r="N28" i="22" s="1"/>
  <c r="F111" i="28"/>
  <c r="K117" i="28"/>
  <c r="N41" i="22"/>
  <c r="K135" i="28"/>
  <c r="N46" i="22"/>
  <c r="F146" i="28"/>
  <c r="F152" i="28"/>
  <c r="E151" i="28"/>
  <c r="K161" i="28"/>
  <c r="K163" i="28" s="1"/>
  <c r="N57" i="22"/>
  <c r="F164" i="28"/>
  <c r="K167" i="28"/>
  <c r="K170" i="28" s="1"/>
  <c r="E175" i="28"/>
  <c r="F179" i="28"/>
  <c r="G175" i="28"/>
  <c r="N61" i="22" s="1"/>
  <c r="N63" i="22"/>
  <c r="K191" i="28"/>
  <c r="F193" i="28"/>
  <c r="K202" i="28"/>
  <c r="F212" i="28"/>
  <c r="K216" i="28"/>
  <c r="N73" i="22"/>
  <c r="K227" i="28"/>
  <c r="N76" i="22"/>
  <c r="G211" i="28"/>
  <c r="N72" i="22" s="1"/>
  <c r="N77" i="22"/>
  <c r="F232" i="28"/>
  <c r="F242" i="28"/>
  <c r="K246" i="28"/>
  <c r="N85" i="22"/>
  <c r="R85" i="22" s="1"/>
  <c r="O86" i="22"/>
  <c r="K255" i="28"/>
  <c r="N88" i="22"/>
  <c r="K263" i="28"/>
  <c r="N91" i="22"/>
  <c r="F199" i="28"/>
  <c r="K206" i="28"/>
  <c r="K208" i="28" s="1"/>
  <c r="N69" i="22"/>
  <c r="K210" i="28"/>
  <c r="N71" i="22"/>
  <c r="F213" i="28"/>
  <c r="F227" i="28"/>
  <c r="F229" i="28"/>
  <c r="F32" i="28"/>
  <c r="F41" i="28"/>
  <c r="G38" i="28"/>
  <c r="N18" i="22" s="1"/>
  <c r="K52" i="28"/>
  <c r="D56" i="28"/>
  <c r="F57" i="28"/>
  <c r="K67" i="28"/>
  <c r="D71" i="28"/>
  <c r="F90" i="28"/>
  <c r="F100" i="28"/>
  <c r="K111" i="28"/>
  <c r="N39" i="22"/>
  <c r="F130" i="28"/>
  <c r="F139" i="28"/>
  <c r="K148" i="28"/>
  <c r="F153" i="28"/>
  <c r="K156" i="28"/>
  <c r="N55" i="22"/>
  <c r="K157" i="28"/>
  <c r="K159" i="28" s="1"/>
  <c r="K160" i="28" s="1"/>
  <c r="K164" i="28"/>
  <c r="K166" i="28" s="1"/>
  <c r="N58" i="22"/>
  <c r="F167" i="28"/>
  <c r="K172" i="28"/>
  <c r="F176" i="28"/>
  <c r="K180" i="28"/>
  <c r="K182" i="28" s="1"/>
  <c r="K183" i="28" s="1"/>
  <c r="F188" i="28"/>
  <c r="F191" i="28"/>
  <c r="K193" i="28"/>
  <c r="E198" i="28"/>
  <c r="F202" i="28"/>
  <c r="K209" i="28"/>
  <c r="P72" i="22"/>
  <c r="F215" i="28"/>
  <c r="P78" i="22"/>
  <c r="D231" i="28"/>
  <c r="K234" i="28"/>
  <c r="K237" i="28"/>
  <c r="N80" i="22"/>
  <c r="K242" i="28"/>
  <c r="N83" i="22"/>
  <c r="D247" i="28"/>
  <c r="K251" i="28"/>
  <c r="K253" i="28" s="1"/>
  <c r="K254" i="28" s="1"/>
  <c r="N12" i="22"/>
  <c r="N15" i="22"/>
  <c r="N20" i="22"/>
  <c r="N21" i="22"/>
  <c r="N25" i="22"/>
  <c r="N30" i="22"/>
  <c r="N31" i="22"/>
  <c r="N32" i="22"/>
  <c r="N34" i="22"/>
  <c r="G56" i="28"/>
  <c r="G88" i="28"/>
  <c r="G107" i="28"/>
  <c r="E120" i="28"/>
  <c r="K130" i="28"/>
  <c r="G238" i="28"/>
  <c r="K15" i="28"/>
  <c r="K45" i="28"/>
  <c r="E56" i="28"/>
  <c r="K79" i="28"/>
  <c r="K82" i="28" s="1"/>
  <c r="E88" i="28"/>
  <c r="E107" i="28"/>
  <c r="D151" i="28"/>
  <c r="F154" i="28"/>
  <c r="K184" i="28"/>
  <c r="D198" i="28"/>
  <c r="K229" i="28"/>
  <c r="D120" i="28"/>
  <c r="N417" i="23"/>
  <c r="O343" i="23"/>
  <c r="N343" i="23"/>
  <c r="O342" i="23"/>
  <c r="N342" i="23"/>
  <c r="O341" i="23"/>
  <c r="N341" i="23"/>
  <c r="O323" i="23"/>
  <c r="N323" i="23"/>
  <c r="O116" i="23"/>
  <c r="N116" i="23"/>
  <c r="I490" i="23"/>
  <c r="H490" i="23"/>
  <c r="I489" i="23"/>
  <c r="H489" i="23"/>
  <c r="I488" i="23"/>
  <c r="H488" i="23"/>
  <c r="I487" i="23"/>
  <c r="H487" i="23"/>
  <c r="H485" i="23"/>
  <c r="I483" i="23"/>
  <c r="H483" i="23"/>
  <c r="I482" i="23"/>
  <c r="H482" i="23"/>
  <c r="I481" i="23"/>
  <c r="H481" i="23"/>
  <c r="I480" i="23"/>
  <c r="H480" i="23"/>
  <c r="I479" i="23"/>
  <c r="H479" i="23"/>
  <c r="I478" i="23"/>
  <c r="H478" i="23"/>
  <c r="I477" i="23"/>
  <c r="H477" i="23"/>
  <c r="I476" i="23"/>
  <c r="H476" i="23"/>
  <c r="I474" i="23"/>
  <c r="H474" i="23"/>
  <c r="I473" i="23"/>
  <c r="H473" i="23"/>
  <c r="I472" i="23"/>
  <c r="H472" i="23"/>
  <c r="I471" i="23"/>
  <c r="H471" i="23"/>
  <c r="I470" i="23"/>
  <c r="H470" i="23"/>
  <c r="I469" i="23"/>
  <c r="H469" i="23"/>
  <c r="I468" i="23"/>
  <c r="H468" i="23"/>
  <c r="I466" i="23"/>
  <c r="H466" i="23"/>
  <c r="I465" i="23"/>
  <c r="H465" i="23"/>
  <c r="I464" i="23"/>
  <c r="H464" i="23"/>
  <c r="I463" i="23"/>
  <c r="H463" i="23"/>
  <c r="I462" i="23"/>
  <c r="H462" i="23"/>
  <c r="H461" i="23"/>
  <c r="I460" i="23"/>
  <c r="H460" i="23"/>
  <c r="I459" i="23"/>
  <c r="H459" i="23"/>
  <c r="I458" i="23"/>
  <c r="H458" i="23"/>
  <c r="I457" i="23"/>
  <c r="H457" i="23"/>
  <c r="H455" i="23"/>
  <c r="I454" i="23"/>
  <c r="H454" i="23"/>
  <c r="I453" i="23"/>
  <c r="H453" i="23"/>
  <c r="I452" i="23"/>
  <c r="H452" i="23"/>
  <c r="I451" i="23"/>
  <c r="H451" i="23"/>
  <c r="I450" i="23"/>
  <c r="H450" i="23"/>
  <c r="I449" i="23"/>
  <c r="H449" i="23"/>
  <c r="I448" i="23"/>
  <c r="H448" i="23"/>
  <c r="I446" i="23"/>
  <c r="H446" i="23"/>
  <c r="I445" i="23"/>
  <c r="H445" i="23"/>
  <c r="I444" i="23"/>
  <c r="H444" i="23"/>
  <c r="I443" i="23"/>
  <c r="H443" i="23"/>
  <c r="I441" i="23"/>
  <c r="H441" i="23"/>
  <c r="I440" i="23"/>
  <c r="H440" i="23"/>
  <c r="I438" i="23"/>
  <c r="H438" i="23"/>
  <c r="I437" i="23"/>
  <c r="H437" i="23"/>
  <c r="I436" i="23"/>
  <c r="H436" i="23"/>
  <c r="I435" i="23"/>
  <c r="H435" i="23"/>
  <c r="H433" i="23"/>
  <c r="I429" i="23"/>
  <c r="H429" i="23"/>
  <c r="I427" i="23"/>
  <c r="H427" i="23"/>
  <c r="I425" i="23"/>
  <c r="H425" i="23"/>
  <c r="AC425" i="23" s="1"/>
  <c r="H424" i="23"/>
  <c r="AC424" i="23" s="1"/>
  <c r="I422" i="23"/>
  <c r="O422" i="23" s="1"/>
  <c r="H422" i="23"/>
  <c r="I421" i="23"/>
  <c r="O421" i="23" s="1"/>
  <c r="H421" i="23"/>
  <c r="I420" i="23"/>
  <c r="O420" i="23" s="1"/>
  <c r="H420" i="23"/>
  <c r="I418" i="23"/>
  <c r="H418" i="23"/>
  <c r="I416" i="23"/>
  <c r="O416" i="23" s="1"/>
  <c r="H416" i="23"/>
  <c r="I415" i="23"/>
  <c r="O415" i="23" s="1"/>
  <c r="H415" i="23"/>
  <c r="I414" i="23"/>
  <c r="O414" i="23" s="1"/>
  <c r="H414" i="23"/>
  <c r="I412" i="23"/>
  <c r="O412" i="23" s="1"/>
  <c r="H412" i="23"/>
  <c r="I411" i="23"/>
  <c r="O411" i="23" s="1"/>
  <c r="H411" i="23"/>
  <c r="AC411" i="23" s="1"/>
  <c r="I410" i="23"/>
  <c r="O410" i="23" s="1"/>
  <c r="H410" i="23"/>
  <c r="H408" i="23"/>
  <c r="H407" i="23"/>
  <c r="H404" i="23"/>
  <c r="H403" i="23"/>
  <c r="I402" i="23"/>
  <c r="O402" i="23" s="1"/>
  <c r="H402" i="23"/>
  <c r="I400" i="23"/>
  <c r="O400" i="23" s="1"/>
  <c r="H400" i="23"/>
  <c r="AC400" i="23" s="1"/>
  <c r="I399" i="23"/>
  <c r="O399" i="23" s="1"/>
  <c r="H399" i="23"/>
  <c r="I398" i="23"/>
  <c r="O398" i="23" s="1"/>
  <c r="H398" i="23"/>
  <c r="I397" i="23"/>
  <c r="O397" i="23" s="1"/>
  <c r="H397" i="23"/>
  <c r="I395" i="23"/>
  <c r="O395" i="23" s="1"/>
  <c r="H395" i="23"/>
  <c r="I394" i="23"/>
  <c r="O394" i="23" s="1"/>
  <c r="H394" i="23"/>
  <c r="I393" i="23"/>
  <c r="O393" i="23" s="1"/>
  <c r="H393" i="23"/>
  <c r="I392" i="23"/>
  <c r="O392" i="23" s="1"/>
  <c r="H392" i="23"/>
  <c r="I391" i="23"/>
  <c r="O391" i="23" s="1"/>
  <c r="H391" i="23"/>
  <c r="I390" i="23"/>
  <c r="O390" i="23" s="1"/>
  <c r="H390" i="23"/>
  <c r="I389" i="23"/>
  <c r="O389" i="23" s="1"/>
  <c r="H389" i="23"/>
  <c r="I388" i="23"/>
  <c r="O388" i="23" s="1"/>
  <c r="H388" i="23"/>
  <c r="I387" i="23"/>
  <c r="O387" i="23" s="1"/>
  <c r="H387" i="23"/>
  <c r="I385" i="23"/>
  <c r="O385" i="23" s="1"/>
  <c r="H385" i="23"/>
  <c r="I384" i="23"/>
  <c r="O384" i="23" s="1"/>
  <c r="H384" i="23"/>
  <c r="I383" i="23"/>
  <c r="O383" i="23" s="1"/>
  <c r="H383" i="23"/>
  <c r="I382" i="23"/>
  <c r="O382" i="23" s="1"/>
  <c r="H382" i="23"/>
  <c r="H378" i="23"/>
  <c r="N378" i="23" s="1"/>
  <c r="I376" i="23"/>
  <c r="H376" i="23"/>
  <c r="I375" i="23"/>
  <c r="H375" i="23"/>
  <c r="H373" i="23"/>
  <c r="H371" i="23"/>
  <c r="H370" i="23"/>
  <c r="H369" i="23"/>
  <c r="H368" i="23"/>
  <c r="H367" i="23"/>
  <c r="H365" i="23"/>
  <c r="H364" i="23"/>
  <c r="I363" i="23"/>
  <c r="H363" i="23"/>
  <c r="I362" i="23"/>
  <c r="H362" i="23"/>
  <c r="I360" i="23"/>
  <c r="H360" i="23"/>
  <c r="I359" i="23"/>
  <c r="H359" i="23"/>
  <c r="H358" i="23"/>
  <c r="H357" i="23"/>
  <c r="I355" i="23"/>
  <c r="H355" i="23"/>
  <c r="H354" i="23"/>
  <c r="I353" i="23"/>
  <c r="H353" i="23"/>
  <c r="H351" i="23"/>
  <c r="AC351" i="23" s="1"/>
  <c r="I348" i="23"/>
  <c r="H348" i="23"/>
  <c r="I347" i="23"/>
  <c r="H347" i="23"/>
  <c r="I346" i="23"/>
  <c r="H346" i="23"/>
  <c r="I345" i="23"/>
  <c r="H345" i="23"/>
  <c r="I344" i="23"/>
  <c r="H344" i="23"/>
  <c r="I339" i="23"/>
  <c r="H339" i="23"/>
  <c r="I338" i="23"/>
  <c r="H338" i="23"/>
  <c r="I337" i="23"/>
  <c r="H337" i="23"/>
  <c r="H336" i="23"/>
  <c r="I335" i="23"/>
  <c r="H335" i="23"/>
  <c r="H334" i="23"/>
  <c r="H333" i="23"/>
  <c r="H332" i="23"/>
  <c r="I331" i="23"/>
  <c r="H331" i="23"/>
  <c r="I329" i="23"/>
  <c r="H329" i="23"/>
  <c r="I327" i="23"/>
  <c r="H319" i="23"/>
  <c r="I317" i="23"/>
  <c r="H317" i="23"/>
  <c r="AD305" i="23"/>
  <c r="I303" i="23"/>
  <c r="H303" i="23"/>
  <c r="I302" i="23"/>
  <c r="H302" i="23"/>
  <c r="I301" i="23"/>
  <c r="H301" i="23"/>
  <c r="I300" i="23"/>
  <c r="H300" i="23"/>
  <c r="H298" i="23"/>
  <c r="I297" i="23"/>
  <c r="H297" i="23"/>
  <c r="I296" i="23"/>
  <c r="H296" i="23"/>
  <c r="I295" i="23"/>
  <c r="H295" i="23"/>
  <c r="I294" i="23"/>
  <c r="H294" i="23"/>
  <c r="I293" i="23"/>
  <c r="H293" i="23"/>
  <c r="H291" i="23"/>
  <c r="H290" i="23"/>
  <c r="H289" i="23"/>
  <c r="I288" i="23"/>
  <c r="O288" i="23" s="1"/>
  <c r="H288" i="23"/>
  <c r="I287" i="23"/>
  <c r="H287" i="23"/>
  <c r="I285" i="23"/>
  <c r="H285" i="23"/>
  <c r="I284" i="23"/>
  <c r="H284" i="23"/>
  <c r="H283" i="23"/>
  <c r="I282" i="23"/>
  <c r="H282" i="23"/>
  <c r="I281" i="23"/>
  <c r="H281" i="23"/>
  <c r="I280" i="23"/>
  <c r="H280" i="23"/>
  <c r="I279" i="23"/>
  <c r="H279" i="23"/>
  <c r="H277" i="23"/>
  <c r="H276" i="23"/>
  <c r="H275" i="23"/>
  <c r="H272" i="23"/>
  <c r="I270" i="23"/>
  <c r="H270" i="23"/>
  <c r="I269" i="23"/>
  <c r="H269" i="23"/>
  <c r="I268" i="23"/>
  <c r="H268" i="23"/>
  <c r="I267" i="23"/>
  <c r="H267" i="23"/>
  <c r="I265" i="23"/>
  <c r="H265" i="23"/>
  <c r="I264" i="23"/>
  <c r="H264" i="23"/>
  <c r="I263" i="23"/>
  <c r="H263" i="23"/>
  <c r="I262" i="23"/>
  <c r="H262" i="23"/>
  <c r="H260" i="23"/>
  <c r="I260" i="23"/>
  <c r="H259" i="23"/>
  <c r="I259" i="23"/>
  <c r="I258" i="23"/>
  <c r="H258" i="23"/>
  <c r="I256" i="23"/>
  <c r="H256" i="23"/>
  <c r="I255" i="23"/>
  <c r="H255" i="23"/>
  <c r="I251" i="23"/>
  <c r="H251" i="23"/>
  <c r="H248" i="23"/>
  <c r="H247" i="23"/>
  <c r="H246" i="23"/>
  <c r="H245" i="23"/>
  <c r="H242" i="23"/>
  <c r="I241" i="23"/>
  <c r="H241" i="23"/>
  <c r="I240" i="23"/>
  <c r="H240" i="23"/>
  <c r="H238" i="23"/>
  <c r="H237" i="23"/>
  <c r="H234" i="23"/>
  <c r="H233" i="23"/>
  <c r="H230" i="23"/>
  <c r="H229" i="23"/>
  <c r="H226" i="23"/>
  <c r="H225" i="23"/>
  <c r="I224" i="23"/>
  <c r="H224" i="23"/>
  <c r="I223" i="23"/>
  <c r="H223" i="23"/>
  <c r="I222" i="23"/>
  <c r="H222" i="23"/>
  <c r="I221" i="23"/>
  <c r="H221" i="23"/>
  <c r="H219" i="23"/>
  <c r="I214" i="23"/>
  <c r="H214" i="23"/>
  <c r="I213" i="23"/>
  <c r="H213" i="23"/>
  <c r="I212" i="23"/>
  <c r="H212" i="23"/>
  <c r="I210" i="23"/>
  <c r="H210" i="23"/>
  <c r="I208" i="23"/>
  <c r="H208" i="23"/>
  <c r="I207" i="23"/>
  <c r="H207" i="23"/>
  <c r="I206" i="23"/>
  <c r="H206" i="23"/>
  <c r="I205" i="23"/>
  <c r="H205" i="23"/>
  <c r="I204" i="23"/>
  <c r="H204" i="23"/>
  <c r="I203" i="23"/>
  <c r="H203" i="23"/>
  <c r="I202" i="23"/>
  <c r="H202" i="23"/>
  <c r="I201" i="23"/>
  <c r="H201" i="23"/>
  <c r="I199" i="23"/>
  <c r="H199" i="23"/>
  <c r="I198" i="23"/>
  <c r="H198" i="23"/>
  <c r="I197" i="23"/>
  <c r="H197" i="23"/>
  <c r="H195" i="23"/>
  <c r="I193" i="23"/>
  <c r="H193" i="23"/>
  <c r="I192" i="23"/>
  <c r="H192" i="23"/>
  <c r="I191" i="23"/>
  <c r="H191" i="23"/>
  <c r="I190" i="23"/>
  <c r="H190" i="23"/>
  <c r="I188" i="23"/>
  <c r="H188" i="23"/>
  <c r="I187" i="23"/>
  <c r="H187" i="23"/>
  <c r="I186" i="23"/>
  <c r="H186" i="23"/>
  <c r="I185" i="23"/>
  <c r="H185" i="23"/>
  <c r="H183" i="23"/>
  <c r="H182" i="23"/>
  <c r="I181" i="23"/>
  <c r="H181" i="23"/>
  <c r="I180" i="23"/>
  <c r="I179" i="23"/>
  <c r="H179" i="23"/>
  <c r="I178" i="23"/>
  <c r="H178" i="23"/>
  <c r="I177" i="23"/>
  <c r="H177" i="23"/>
  <c r="H175" i="23"/>
  <c r="I174" i="23"/>
  <c r="H174" i="23"/>
  <c r="I173" i="23"/>
  <c r="H173" i="23"/>
  <c r="I171" i="23"/>
  <c r="H171" i="23"/>
  <c r="I170" i="23"/>
  <c r="H170" i="23"/>
  <c r="I169" i="23"/>
  <c r="H169" i="23"/>
  <c r="I168" i="23"/>
  <c r="H168" i="23"/>
  <c r="I167" i="23"/>
  <c r="H167" i="23"/>
  <c r="H165" i="23"/>
  <c r="I157" i="23"/>
  <c r="I156" i="23"/>
  <c r="H156" i="23"/>
  <c r="I155" i="23"/>
  <c r="H155" i="23"/>
  <c r="I154" i="23"/>
  <c r="H154" i="23"/>
  <c r="I152" i="23"/>
  <c r="H152" i="23"/>
  <c r="I151" i="23"/>
  <c r="H151" i="23"/>
  <c r="I150" i="23"/>
  <c r="H150" i="23"/>
  <c r="I149" i="23"/>
  <c r="H149" i="23"/>
  <c r="H147" i="23"/>
  <c r="I144" i="23"/>
  <c r="H144" i="23"/>
  <c r="I143" i="23"/>
  <c r="H143" i="23"/>
  <c r="I142" i="23"/>
  <c r="H142" i="23"/>
  <c r="I140" i="23"/>
  <c r="H140" i="23"/>
  <c r="I139" i="23"/>
  <c r="H139" i="23"/>
  <c r="H137" i="23"/>
  <c r="I135" i="23"/>
  <c r="H135" i="23"/>
  <c r="I134" i="23"/>
  <c r="H134" i="23"/>
  <c r="I133" i="23"/>
  <c r="H133" i="23"/>
  <c r="I131" i="23"/>
  <c r="H131" i="23"/>
  <c r="I130" i="23"/>
  <c r="H130" i="23"/>
  <c r="I129" i="23"/>
  <c r="H129" i="23"/>
  <c r="I128" i="23"/>
  <c r="H128" i="23"/>
  <c r="I127" i="23"/>
  <c r="H127" i="23"/>
  <c r="I126" i="23"/>
  <c r="H126" i="23"/>
  <c r="I125" i="23"/>
  <c r="H125" i="23"/>
  <c r="I124" i="23"/>
  <c r="H124" i="23"/>
  <c r="I123" i="23"/>
  <c r="H123" i="23"/>
  <c r="I122" i="23"/>
  <c r="H122" i="23"/>
  <c r="I121" i="23"/>
  <c r="H121" i="23"/>
  <c r="I120" i="23"/>
  <c r="H120" i="23"/>
  <c r="H118" i="23"/>
  <c r="AC118" i="23" s="1"/>
  <c r="I115" i="23"/>
  <c r="H115" i="23"/>
  <c r="I114" i="23"/>
  <c r="H114" i="23"/>
  <c r="I112" i="23"/>
  <c r="H112" i="23"/>
  <c r="I111" i="23"/>
  <c r="H111" i="23"/>
  <c r="I110" i="23"/>
  <c r="H110" i="23"/>
  <c r="I109" i="23"/>
  <c r="H109" i="23"/>
  <c r="I108" i="23"/>
  <c r="H108" i="23"/>
  <c r="I104" i="23"/>
  <c r="H104" i="23"/>
  <c r="H102" i="23"/>
  <c r="I100" i="23"/>
  <c r="H100" i="23"/>
  <c r="I99" i="23"/>
  <c r="H99" i="23"/>
  <c r="I98" i="23"/>
  <c r="H98" i="23"/>
  <c r="H97" i="23"/>
  <c r="I96" i="23"/>
  <c r="H96" i="23"/>
  <c r="I95" i="23"/>
  <c r="H95" i="23"/>
  <c r="I94" i="23"/>
  <c r="H94" i="23"/>
  <c r="I92" i="23"/>
  <c r="H92" i="23"/>
  <c r="I88" i="23"/>
  <c r="H88" i="23"/>
  <c r="I87" i="23"/>
  <c r="H87" i="23"/>
  <c r="I86" i="23"/>
  <c r="H86" i="23"/>
  <c r="I85" i="23"/>
  <c r="H85" i="23"/>
  <c r="I84" i="23"/>
  <c r="H84" i="23"/>
  <c r="H82" i="23"/>
  <c r="I80" i="23"/>
  <c r="H80" i="23"/>
  <c r="H79" i="23"/>
  <c r="I78" i="23"/>
  <c r="H78" i="23"/>
  <c r="H77" i="23"/>
  <c r="I76" i="23"/>
  <c r="H76" i="23"/>
  <c r="I75" i="23"/>
  <c r="H75" i="23"/>
  <c r="I74" i="23"/>
  <c r="H74" i="23"/>
  <c r="L72" i="23"/>
  <c r="I72" i="23"/>
  <c r="AD72" i="23" s="1"/>
  <c r="H72" i="23"/>
  <c r="AC72" i="23" s="1"/>
  <c r="H69" i="23"/>
  <c r="AC69" i="23" s="1"/>
  <c r="I68" i="23"/>
  <c r="AD68" i="23" s="1"/>
  <c r="H68" i="23"/>
  <c r="AC68" i="23" s="1"/>
  <c r="I67" i="23"/>
  <c r="AD67" i="23" s="1"/>
  <c r="H67" i="23"/>
  <c r="AC67" i="23" s="1"/>
  <c r="I66" i="23"/>
  <c r="AD66" i="23" s="1"/>
  <c r="H66" i="23"/>
  <c r="AC66" i="23" s="1"/>
  <c r="I65" i="23"/>
  <c r="H65" i="23"/>
  <c r="I63" i="23"/>
  <c r="H63" i="23"/>
  <c r="I62" i="23"/>
  <c r="H62" i="23"/>
  <c r="I60" i="23"/>
  <c r="H60" i="23"/>
  <c r="I59" i="23"/>
  <c r="H59" i="23"/>
  <c r="I58" i="23"/>
  <c r="H58" i="23"/>
  <c r="I57" i="23"/>
  <c r="H57" i="23"/>
  <c r="I55" i="23"/>
  <c r="H55" i="23"/>
  <c r="I54" i="23"/>
  <c r="I53" i="23"/>
  <c r="H52" i="23"/>
  <c r="I51" i="23"/>
  <c r="H51" i="23"/>
  <c r="I50" i="23"/>
  <c r="H50" i="23"/>
  <c r="H46" i="23"/>
  <c r="H45" i="23"/>
  <c r="H44" i="23"/>
  <c r="I43" i="23"/>
  <c r="H43" i="23"/>
  <c r="I41" i="23"/>
  <c r="H41" i="23"/>
  <c r="I40" i="23"/>
  <c r="H40" i="23"/>
  <c r="I39" i="23"/>
  <c r="H39" i="23"/>
  <c r="I38" i="23"/>
  <c r="H38" i="23"/>
  <c r="I37" i="23"/>
  <c r="H37" i="23"/>
  <c r="I35" i="23"/>
  <c r="H35" i="23"/>
  <c r="I34" i="23"/>
  <c r="O34" i="23" s="1"/>
  <c r="H34" i="23"/>
  <c r="I33" i="23"/>
  <c r="O33" i="23" s="1"/>
  <c r="H33" i="23"/>
  <c r="I32" i="23"/>
  <c r="O32" i="23" s="1"/>
  <c r="H32" i="23"/>
  <c r="I31" i="23"/>
  <c r="O31" i="23" s="1"/>
  <c r="H31" i="23"/>
  <c r="I30" i="23"/>
  <c r="O30" i="23" s="1"/>
  <c r="H30" i="23"/>
  <c r="I29" i="23"/>
  <c r="O29" i="23" s="1"/>
  <c r="H29" i="23"/>
  <c r="H28" i="23"/>
  <c r="I27" i="23"/>
  <c r="O27" i="23" s="1"/>
  <c r="H27" i="23"/>
  <c r="I26" i="23"/>
  <c r="H26" i="23"/>
  <c r="I24" i="23"/>
  <c r="O24" i="23" s="1"/>
  <c r="H24" i="23"/>
  <c r="I23" i="23"/>
  <c r="O23" i="23" s="1"/>
  <c r="H23" i="23"/>
  <c r="I22" i="23"/>
  <c r="O22" i="23" s="1"/>
  <c r="H22" i="23"/>
  <c r="I21" i="23"/>
  <c r="O21" i="23" s="1"/>
  <c r="H21" i="23"/>
  <c r="I20" i="23"/>
  <c r="H20" i="23"/>
  <c r="I19" i="23"/>
  <c r="H19" i="23"/>
  <c r="I18" i="23"/>
  <c r="H18" i="23"/>
  <c r="I17" i="23"/>
  <c r="H17" i="23"/>
  <c r="I15" i="23"/>
  <c r="H15" i="23"/>
  <c r="I14" i="23"/>
  <c r="H14" i="23"/>
  <c r="I13" i="23"/>
  <c r="H13" i="23"/>
  <c r="I12" i="23"/>
  <c r="H12" i="23"/>
  <c r="I11" i="23"/>
  <c r="H11" i="23"/>
  <c r="I10" i="23"/>
  <c r="H10" i="23"/>
  <c r="I9" i="23"/>
  <c r="H9" i="23"/>
  <c r="I8" i="23"/>
  <c r="H8" i="23"/>
  <c r="I7" i="23"/>
  <c r="H7" i="23"/>
  <c r="P9" i="22" l="1"/>
  <c r="O9" i="22"/>
  <c r="F198" i="28"/>
  <c r="O222" i="23"/>
  <c r="AD222" i="23"/>
  <c r="F211" i="28"/>
  <c r="AD78" i="23"/>
  <c r="O78" i="23"/>
  <c r="AC17" i="23"/>
  <c r="N17" i="23"/>
  <c r="AD17" i="23"/>
  <c r="O17" i="23"/>
  <c r="N54" i="22"/>
  <c r="F238" i="28"/>
  <c r="AD359" i="23"/>
  <c r="O359" i="23"/>
  <c r="AD362" i="23"/>
  <c r="O362" i="23"/>
  <c r="F11" i="28"/>
  <c r="AC108" i="23"/>
  <c r="N108" i="23"/>
  <c r="O120" i="23"/>
  <c r="AD120" i="23"/>
  <c r="AD108" i="23"/>
  <c r="O108" i="23"/>
  <c r="N120" i="23"/>
  <c r="AC120" i="23"/>
  <c r="F247" i="28"/>
  <c r="F56" i="28"/>
  <c r="N67" i="22"/>
  <c r="K71" i="28"/>
  <c r="F175" i="28"/>
  <c r="F231" i="28"/>
  <c r="F38" i="28"/>
  <c r="F9" i="28"/>
  <c r="V349" i="23"/>
  <c r="G66" i="22" s="1"/>
  <c r="U349" i="23"/>
  <c r="F66" i="22" s="1"/>
  <c r="T349" i="23"/>
  <c r="E66" i="22" s="1"/>
  <c r="W349" i="23"/>
  <c r="H66" i="22" s="1"/>
  <c r="F7" i="28"/>
  <c r="K211" i="28"/>
  <c r="F8" i="28"/>
  <c r="F71" i="28"/>
  <c r="F88" i="28"/>
  <c r="F107" i="28"/>
  <c r="K175" i="28"/>
  <c r="K231" i="28"/>
  <c r="K38" i="28"/>
  <c r="K11" i="28"/>
  <c r="E6" i="28"/>
  <c r="F151" i="28"/>
  <c r="K120" i="28"/>
  <c r="K88" i="28"/>
  <c r="N33" i="22"/>
  <c r="K56" i="28"/>
  <c r="K59" i="28" s="1"/>
  <c r="N23" i="22"/>
  <c r="K171" i="28"/>
  <c r="K146" i="28"/>
  <c r="N49" i="22"/>
  <c r="G6" i="28"/>
  <c r="K6" i="28" s="1"/>
  <c r="K238" i="28"/>
  <c r="K240" i="28" s="1"/>
  <c r="N81" i="22"/>
  <c r="K107" i="28"/>
  <c r="N38" i="22"/>
  <c r="K247" i="28"/>
  <c r="K249" i="28" s="1"/>
  <c r="K250" i="28" s="1"/>
  <c r="D6" i="28"/>
  <c r="F10" i="28"/>
  <c r="O14" i="23"/>
  <c r="AD14" i="23"/>
  <c r="O18" i="23"/>
  <c r="AD18" i="23"/>
  <c r="O20" i="23"/>
  <c r="AD20" i="23"/>
  <c r="AD22" i="23"/>
  <c r="AD24" i="23"/>
  <c r="AD27" i="23"/>
  <c r="AD29" i="23"/>
  <c r="AD31" i="23"/>
  <c r="AD33" i="23"/>
  <c r="O40" i="23"/>
  <c r="AD40" i="23"/>
  <c r="O43" i="23"/>
  <c r="AD43" i="23"/>
  <c r="N50" i="23"/>
  <c r="AC50" i="23"/>
  <c r="N52" i="23"/>
  <c r="AC52" i="23"/>
  <c r="O55" i="23"/>
  <c r="AD55" i="23"/>
  <c r="O58" i="23"/>
  <c r="AD58" i="23"/>
  <c r="O60" i="23"/>
  <c r="AD60" i="23"/>
  <c r="O63" i="23"/>
  <c r="AD63" i="23"/>
  <c r="O66" i="23"/>
  <c r="O68" i="23"/>
  <c r="O72" i="23"/>
  <c r="N75" i="23"/>
  <c r="AC75" i="23"/>
  <c r="N77" i="23"/>
  <c r="AC77" i="23"/>
  <c r="N82" i="23"/>
  <c r="AC82" i="23"/>
  <c r="N86" i="23"/>
  <c r="AC86" i="23"/>
  <c r="N88" i="23"/>
  <c r="AC88" i="23"/>
  <c r="O95" i="23"/>
  <c r="AD95" i="23"/>
  <c r="AD97" i="23"/>
  <c r="O99" i="23"/>
  <c r="AD99" i="23"/>
  <c r="N104" i="23"/>
  <c r="AC104" i="23"/>
  <c r="N110" i="23"/>
  <c r="AC110" i="23"/>
  <c r="N122" i="23"/>
  <c r="AC122" i="23"/>
  <c r="N124" i="23"/>
  <c r="AC124" i="23"/>
  <c r="N126" i="23"/>
  <c r="AC126" i="23"/>
  <c r="N128" i="23"/>
  <c r="AC128" i="23"/>
  <c r="N130" i="23"/>
  <c r="AC130" i="23"/>
  <c r="N133" i="23"/>
  <c r="AC133" i="23"/>
  <c r="N135" i="23"/>
  <c r="AC135" i="23"/>
  <c r="N139" i="23"/>
  <c r="AC139" i="23"/>
  <c r="N142" i="23"/>
  <c r="AC142" i="23"/>
  <c r="N144" i="23"/>
  <c r="AC144" i="23"/>
  <c r="N149" i="23"/>
  <c r="AC149" i="23"/>
  <c r="N151" i="23"/>
  <c r="AC151" i="23"/>
  <c r="N154" i="23"/>
  <c r="AC154" i="23"/>
  <c r="N156" i="23"/>
  <c r="AC156" i="23"/>
  <c r="AD159" i="23"/>
  <c r="O167" i="23"/>
  <c r="AD167" i="23"/>
  <c r="O169" i="23"/>
  <c r="AD169" i="23"/>
  <c r="O171" i="23"/>
  <c r="AD171" i="23"/>
  <c r="O173" i="23"/>
  <c r="AD173" i="23"/>
  <c r="AD175" i="23"/>
  <c r="O178" i="23"/>
  <c r="AD178" i="23"/>
  <c r="O185" i="23"/>
  <c r="AD185" i="23"/>
  <c r="O187" i="23"/>
  <c r="AD187" i="23"/>
  <c r="O190" i="23"/>
  <c r="AD190" i="23"/>
  <c r="O192" i="23"/>
  <c r="AD192" i="23"/>
  <c r="O201" i="23"/>
  <c r="AD201" i="23"/>
  <c r="O203" i="23"/>
  <c r="AD203" i="23"/>
  <c r="O205" i="23"/>
  <c r="AD205" i="23"/>
  <c r="O207" i="23"/>
  <c r="AD207" i="23"/>
  <c r="O210" i="23"/>
  <c r="AD210" i="23"/>
  <c r="O213" i="23"/>
  <c r="AD213" i="23"/>
  <c r="AD215" i="23"/>
  <c r="O224" i="23"/>
  <c r="AD224" i="23"/>
  <c r="N229" i="23"/>
  <c r="AC229" i="23"/>
  <c r="AD233" i="23"/>
  <c r="N238" i="23"/>
  <c r="AC238" i="23"/>
  <c r="N246" i="23"/>
  <c r="AC246" i="23"/>
  <c r="O251" i="23"/>
  <c r="I243" i="23" s="1"/>
  <c r="M47" i="22" s="1"/>
  <c r="AD251" i="23"/>
  <c r="O255" i="23"/>
  <c r="AD255" i="23"/>
  <c r="N258" i="23"/>
  <c r="AC258" i="23"/>
  <c r="O260" i="23"/>
  <c r="AD260" i="23"/>
  <c r="N263" i="23"/>
  <c r="AC263" i="23"/>
  <c r="N265" i="23"/>
  <c r="AC265" i="23"/>
  <c r="N268" i="23"/>
  <c r="AC268" i="23"/>
  <c r="N270" i="23"/>
  <c r="AC270" i="23"/>
  <c r="N276" i="23"/>
  <c r="AC276" i="23"/>
  <c r="N280" i="23"/>
  <c r="AC280" i="23"/>
  <c r="N282" i="23"/>
  <c r="AC282" i="23"/>
  <c r="O284" i="23"/>
  <c r="AD284" i="23"/>
  <c r="N290" i="23"/>
  <c r="AC290" i="23"/>
  <c r="N294" i="23"/>
  <c r="AC294" i="23"/>
  <c r="N296" i="23"/>
  <c r="AC296" i="23"/>
  <c r="N298" i="23"/>
  <c r="AC298" i="23"/>
  <c r="N300" i="23"/>
  <c r="AC300" i="23"/>
  <c r="N302" i="23"/>
  <c r="AC302" i="23"/>
  <c r="AC305" i="23"/>
  <c r="N309" i="23"/>
  <c r="AC309" i="23"/>
  <c r="N311" i="23"/>
  <c r="AC311" i="23"/>
  <c r="N315" i="23"/>
  <c r="AC315" i="23"/>
  <c r="AD319" i="23"/>
  <c r="O322" i="23"/>
  <c r="AD322" i="23"/>
  <c r="N327" i="23"/>
  <c r="AC327" i="23"/>
  <c r="AD329" i="23"/>
  <c r="O331" i="23"/>
  <c r="AD331" i="23"/>
  <c r="N334" i="23"/>
  <c r="AC334" i="23"/>
  <c r="N337" i="23"/>
  <c r="AC337" i="23"/>
  <c r="N339" i="23"/>
  <c r="AC339" i="23"/>
  <c r="N345" i="23"/>
  <c r="AC345" i="23"/>
  <c r="N347" i="23"/>
  <c r="AC347" i="23"/>
  <c r="N351" i="23"/>
  <c r="H349" i="23" s="1"/>
  <c r="I66" i="22" s="1"/>
  <c r="S66" i="22" s="1"/>
  <c r="T66" i="22" s="1"/>
  <c r="N354" i="23"/>
  <c r="AC354" i="23"/>
  <c r="N358" i="23"/>
  <c r="AC358" i="23"/>
  <c r="O360" i="23"/>
  <c r="AD360" i="23"/>
  <c r="O363" i="23"/>
  <c r="AD363" i="23"/>
  <c r="AD365" i="23"/>
  <c r="N369" i="23"/>
  <c r="AC369" i="23"/>
  <c r="N375" i="23"/>
  <c r="AC375" i="23"/>
  <c r="N377" i="23"/>
  <c r="AC377" i="23"/>
  <c r="AD379" i="23"/>
  <c r="N403" i="23"/>
  <c r="AC403" i="23"/>
  <c r="N408" i="23"/>
  <c r="AC408" i="23"/>
  <c r="N414" i="23"/>
  <c r="AC414" i="23"/>
  <c r="N416" i="23"/>
  <c r="AC416" i="23"/>
  <c r="N420" i="23"/>
  <c r="AC420" i="23"/>
  <c r="N422" i="23"/>
  <c r="AC422" i="23"/>
  <c r="O429" i="23"/>
  <c r="AD429" i="23"/>
  <c r="O435" i="23"/>
  <c r="AD435" i="23"/>
  <c r="O440" i="23"/>
  <c r="AD440" i="23"/>
  <c r="O443" i="23"/>
  <c r="AD443" i="23"/>
  <c r="O445" i="23"/>
  <c r="AD445" i="23"/>
  <c r="O448" i="23"/>
  <c r="AD448" i="23"/>
  <c r="O451" i="23"/>
  <c r="AD451" i="23"/>
  <c r="O460" i="23"/>
  <c r="AD460" i="23"/>
  <c r="N463" i="23"/>
  <c r="AC463" i="23"/>
  <c r="N465" i="23"/>
  <c r="AC465" i="23"/>
  <c r="N468" i="23"/>
  <c r="AC468" i="23"/>
  <c r="N470" i="23"/>
  <c r="AC470" i="23"/>
  <c r="N472" i="23"/>
  <c r="AC472" i="23"/>
  <c r="N474" i="23"/>
  <c r="AC474" i="23"/>
  <c r="N477" i="23"/>
  <c r="AC477" i="23"/>
  <c r="N479" i="23"/>
  <c r="AC479" i="23"/>
  <c r="N481" i="23"/>
  <c r="AC481" i="23"/>
  <c r="N483" i="23"/>
  <c r="AC483" i="23"/>
  <c r="N487" i="23"/>
  <c r="AC487" i="23"/>
  <c r="N489" i="23"/>
  <c r="AC489" i="23"/>
  <c r="N492" i="23"/>
  <c r="AC492" i="23"/>
  <c r="N15" i="23"/>
  <c r="AC15" i="23"/>
  <c r="N19" i="23"/>
  <c r="AC19" i="23"/>
  <c r="N21" i="23"/>
  <c r="AC21" i="23"/>
  <c r="N23" i="23"/>
  <c r="AC23" i="23"/>
  <c r="N26" i="23"/>
  <c r="AC26" i="23"/>
  <c r="N28" i="23"/>
  <c r="AC28" i="23"/>
  <c r="N30" i="23"/>
  <c r="AC30" i="23"/>
  <c r="N32" i="23"/>
  <c r="AC32" i="23"/>
  <c r="N34" i="23"/>
  <c r="AC34" i="23"/>
  <c r="N39" i="23"/>
  <c r="AC39" i="23"/>
  <c r="N41" i="23"/>
  <c r="AC41" i="23"/>
  <c r="N44" i="23"/>
  <c r="AC44" i="23"/>
  <c r="O50" i="23"/>
  <c r="AD50" i="23"/>
  <c r="O53" i="23"/>
  <c r="AD53" i="23"/>
  <c r="N57" i="23"/>
  <c r="AC57" i="23"/>
  <c r="N59" i="23"/>
  <c r="AC59" i="23"/>
  <c r="N62" i="23"/>
  <c r="AC62" i="23"/>
  <c r="N65" i="23"/>
  <c r="AC65" i="23"/>
  <c r="N67" i="23"/>
  <c r="N69" i="23"/>
  <c r="N79" i="23"/>
  <c r="AC79" i="23"/>
  <c r="AD82" i="23"/>
  <c r="O86" i="23"/>
  <c r="AD86" i="23"/>
  <c r="O88" i="23"/>
  <c r="AD88" i="23"/>
  <c r="N94" i="23"/>
  <c r="AC94" i="23"/>
  <c r="N96" i="23"/>
  <c r="AC96" i="23"/>
  <c r="N98" i="23"/>
  <c r="AC98" i="23"/>
  <c r="N100" i="23"/>
  <c r="AC100" i="23"/>
  <c r="O104" i="23"/>
  <c r="AD104" i="23"/>
  <c r="O110" i="23"/>
  <c r="AD110" i="23"/>
  <c r="O122" i="23"/>
  <c r="AD122" i="23"/>
  <c r="O124" i="23"/>
  <c r="AD124" i="23"/>
  <c r="O128" i="23"/>
  <c r="AD128" i="23"/>
  <c r="O130" i="23"/>
  <c r="AD130" i="23"/>
  <c r="O135" i="23"/>
  <c r="AD135" i="23"/>
  <c r="O139" i="23"/>
  <c r="AD139" i="23"/>
  <c r="O142" i="23"/>
  <c r="AD142" i="23"/>
  <c r="O144" i="23"/>
  <c r="AD144" i="23"/>
  <c r="O149" i="23"/>
  <c r="AD149" i="23"/>
  <c r="O151" i="23"/>
  <c r="AD151" i="23"/>
  <c r="O154" i="23"/>
  <c r="AD154" i="23"/>
  <c r="O156" i="23"/>
  <c r="AD156" i="23"/>
  <c r="N168" i="23"/>
  <c r="AC168" i="23"/>
  <c r="N170" i="23"/>
  <c r="AC170" i="23"/>
  <c r="N174" i="23"/>
  <c r="AC174" i="23"/>
  <c r="N179" i="23"/>
  <c r="AC179" i="23"/>
  <c r="N181" i="23"/>
  <c r="AC181" i="23"/>
  <c r="N183" i="23"/>
  <c r="AC183" i="23"/>
  <c r="N186" i="23"/>
  <c r="AC186" i="23"/>
  <c r="N188" i="23"/>
  <c r="AC188" i="23"/>
  <c r="N191" i="23"/>
  <c r="AC191" i="23"/>
  <c r="N193" i="23"/>
  <c r="AC193" i="23"/>
  <c r="N197" i="23"/>
  <c r="AC197" i="23"/>
  <c r="N199" i="23"/>
  <c r="AC199" i="23"/>
  <c r="N202" i="23"/>
  <c r="AC202" i="23"/>
  <c r="N204" i="23"/>
  <c r="AC204" i="23"/>
  <c r="N206" i="23"/>
  <c r="AC206" i="23"/>
  <c r="N208" i="23"/>
  <c r="AC208" i="23"/>
  <c r="N212" i="23"/>
  <c r="AC212" i="23"/>
  <c r="N214" i="23"/>
  <c r="AC214" i="23"/>
  <c r="N219" i="23"/>
  <c r="AC219" i="23"/>
  <c r="N222" i="23"/>
  <c r="AC222" i="23"/>
  <c r="N223" i="23"/>
  <c r="AC223" i="23"/>
  <c r="N225" i="23"/>
  <c r="AC225" i="23"/>
  <c r="N234" i="23"/>
  <c r="AC234" i="23"/>
  <c r="N240" i="23"/>
  <c r="AC240" i="23"/>
  <c r="N242" i="23"/>
  <c r="AC242" i="23"/>
  <c r="N247" i="23"/>
  <c r="AC247" i="23"/>
  <c r="N256" i="23"/>
  <c r="AC256" i="23"/>
  <c r="O258" i="23"/>
  <c r="AD258" i="23"/>
  <c r="N260" i="23"/>
  <c r="AC260" i="23"/>
  <c r="O263" i="23"/>
  <c r="AD263" i="23"/>
  <c r="O265" i="23"/>
  <c r="AD265" i="23"/>
  <c r="O268" i="23"/>
  <c r="AD268" i="23"/>
  <c r="O270" i="23"/>
  <c r="AD270" i="23"/>
  <c r="N277" i="23"/>
  <c r="AC277" i="23"/>
  <c r="O280" i="23"/>
  <c r="AD280" i="23"/>
  <c r="O282" i="23"/>
  <c r="AD282" i="23"/>
  <c r="N285" i="23"/>
  <c r="AC285" i="23"/>
  <c r="N288" i="23"/>
  <c r="AC288" i="23"/>
  <c r="N291" i="23"/>
  <c r="AC291" i="23"/>
  <c r="O294" i="23"/>
  <c r="AD294" i="23"/>
  <c r="O296" i="23"/>
  <c r="AD296" i="23"/>
  <c r="AD298" i="23"/>
  <c r="O300" i="23"/>
  <c r="AD300" i="23"/>
  <c r="O309" i="23"/>
  <c r="AD309" i="23"/>
  <c r="O311" i="23"/>
  <c r="AD311" i="23"/>
  <c r="N317" i="23"/>
  <c r="AC317" i="23"/>
  <c r="N325" i="23"/>
  <c r="AC325" i="23"/>
  <c r="AD327" i="23"/>
  <c r="N335" i="23"/>
  <c r="AC335" i="23"/>
  <c r="O339" i="23"/>
  <c r="AD339" i="23"/>
  <c r="O347" i="23"/>
  <c r="AD347" i="23"/>
  <c r="N355" i="23"/>
  <c r="AC355" i="23"/>
  <c r="N359" i="23"/>
  <c r="AC359" i="23"/>
  <c r="N362" i="23"/>
  <c r="AC362" i="23"/>
  <c r="N364" i="23"/>
  <c r="AC364" i="23"/>
  <c r="N370" i="23"/>
  <c r="AC370" i="23"/>
  <c r="O375" i="23"/>
  <c r="AD375" i="23"/>
  <c r="N384" i="23"/>
  <c r="AC384" i="23"/>
  <c r="N387" i="23"/>
  <c r="AC387" i="23"/>
  <c r="N389" i="23"/>
  <c r="AC389" i="23"/>
  <c r="N391" i="23"/>
  <c r="AC391" i="23"/>
  <c r="N393" i="23"/>
  <c r="AC393" i="23"/>
  <c r="N404" i="23"/>
  <c r="AC404" i="23"/>
  <c r="AD411" i="23"/>
  <c r="AD414" i="23"/>
  <c r="AD416" i="23"/>
  <c r="AD420" i="23"/>
  <c r="AD422" i="23"/>
  <c r="N427" i="23"/>
  <c r="AC427" i="23"/>
  <c r="N433" i="23"/>
  <c r="AC433" i="23"/>
  <c r="N436" i="23"/>
  <c r="AC436" i="23"/>
  <c r="N438" i="23"/>
  <c r="AC438" i="23"/>
  <c r="N441" i="23"/>
  <c r="AC441" i="23"/>
  <c r="N444" i="23"/>
  <c r="AC444" i="23"/>
  <c r="N446" i="23"/>
  <c r="AC446" i="23"/>
  <c r="N449" i="23"/>
  <c r="AC449" i="23"/>
  <c r="N450" i="23"/>
  <c r="AC450" i="23"/>
  <c r="N452" i="23"/>
  <c r="AC452" i="23"/>
  <c r="N454" i="23"/>
  <c r="AC454" i="23"/>
  <c r="N457" i="23"/>
  <c r="AC457" i="23"/>
  <c r="N459" i="23"/>
  <c r="AC459" i="23"/>
  <c r="N461" i="23"/>
  <c r="AC461" i="23"/>
  <c r="O463" i="23"/>
  <c r="AD463" i="23"/>
  <c r="O465" i="23"/>
  <c r="AD465" i="23"/>
  <c r="O468" i="23"/>
  <c r="AD468" i="23"/>
  <c r="O470" i="23"/>
  <c r="AD470" i="23"/>
  <c r="O472" i="23"/>
  <c r="AD472" i="23"/>
  <c r="O474" i="23"/>
  <c r="AD474" i="23"/>
  <c r="O477" i="23"/>
  <c r="AD477" i="23"/>
  <c r="O479" i="23"/>
  <c r="AD479" i="23"/>
  <c r="O481" i="23"/>
  <c r="AD481" i="23"/>
  <c r="O483" i="23"/>
  <c r="AD483" i="23"/>
  <c r="O487" i="23"/>
  <c r="AD487" i="23"/>
  <c r="O489" i="23"/>
  <c r="AD489" i="23"/>
  <c r="O15" i="23"/>
  <c r="AD15" i="23"/>
  <c r="O19" i="23"/>
  <c r="AD19" i="23"/>
  <c r="AD21" i="23"/>
  <c r="AD23" i="23"/>
  <c r="O26" i="23"/>
  <c r="AD26" i="23"/>
  <c r="AD28" i="23"/>
  <c r="AD30" i="23"/>
  <c r="AD32" i="23"/>
  <c r="AD34" i="23"/>
  <c r="O39" i="23"/>
  <c r="AD39" i="23"/>
  <c r="O41" i="23"/>
  <c r="AD41" i="23"/>
  <c r="N45" i="23"/>
  <c r="AC45" i="23"/>
  <c r="N51" i="23"/>
  <c r="AC51" i="23"/>
  <c r="O54" i="23"/>
  <c r="AD54" i="23"/>
  <c r="O57" i="23"/>
  <c r="AD57" i="23"/>
  <c r="O59" i="23"/>
  <c r="AD59" i="23"/>
  <c r="O62" i="23"/>
  <c r="AD62" i="23"/>
  <c r="O65" i="23"/>
  <c r="AD65" i="23"/>
  <c r="O67" i="23"/>
  <c r="N74" i="23"/>
  <c r="AC74" i="23"/>
  <c r="N76" i="23"/>
  <c r="AC76" i="23"/>
  <c r="N80" i="23"/>
  <c r="AC80" i="23"/>
  <c r="N84" i="23"/>
  <c r="AC84" i="23"/>
  <c r="N85" i="23"/>
  <c r="AC85" i="23"/>
  <c r="N87" i="23"/>
  <c r="AC87" i="23"/>
  <c r="O94" i="23"/>
  <c r="AD94" i="23"/>
  <c r="O96" i="23"/>
  <c r="AD96" i="23"/>
  <c r="O98" i="23"/>
  <c r="AD98" i="23"/>
  <c r="N106" i="23"/>
  <c r="N111" i="23"/>
  <c r="AC111" i="23"/>
  <c r="N114" i="23"/>
  <c r="AC114" i="23"/>
  <c r="N118" i="23"/>
  <c r="N121" i="23"/>
  <c r="AC121" i="23"/>
  <c r="N123" i="23"/>
  <c r="AC123" i="23"/>
  <c r="N125" i="23"/>
  <c r="AC125" i="23"/>
  <c r="N127" i="23"/>
  <c r="AC127" i="23"/>
  <c r="N129" i="23"/>
  <c r="AC129" i="23"/>
  <c r="N131" i="23"/>
  <c r="AC131" i="23"/>
  <c r="N134" i="23"/>
  <c r="AC134" i="23"/>
  <c r="N137" i="23"/>
  <c r="AC137" i="23"/>
  <c r="N140" i="23"/>
  <c r="AC140" i="23"/>
  <c r="N143" i="23"/>
  <c r="AC143" i="23"/>
  <c r="N147" i="23"/>
  <c r="AC147" i="23"/>
  <c r="N150" i="23"/>
  <c r="AC150" i="23"/>
  <c r="N152" i="23"/>
  <c r="AC152" i="23"/>
  <c r="N155" i="23"/>
  <c r="AC155" i="23"/>
  <c r="O168" i="23"/>
  <c r="AD168" i="23"/>
  <c r="O170" i="23"/>
  <c r="AD170" i="23"/>
  <c r="O174" i="23"/>
  <c r="AD174" i="23"/>
  <c r="O179" i="23"/>
  <c r="AD179" i="23"/>
  <c r="O186" i="23"/>
  <c r="AD186" i="23"/>
  <c r="O188" i="23"/>
  <c r="AD188" i="23"/>
  <c r="O191" i="23"/>
  <c r="AD191" i="23"/>
  <c r="O202" i="23"/>
  <c r="AD202" i="23"/>
  <c r="O204" i="23"/>
  <c r="AD204" i="23"/>
  <c r="O206" i="23"/>
  <c r="AD206" i="23"/>
  <c r="O208" i="23"/>
  <c r="AD208" i="23"/>
  <c r="O212" i="23"/>
  <c r="AD212" i="23"/>
  <c r="AD214" i="23"/>
  <c r="AD223" i="23"/>
  <c r="N226" i="23"/>
  <c r="AC226" i="23"/>
  <c r="N230" i="23"/>
  <c r="AC230" i="23"/>
  <c r="AD234" i="23"/>
  <c r="N248" i="23"/>
  <c r="AC248" i="23"/>
  <c r="O256" i="23"/>
  <c r="AD256" i="23"/>
  <c r="O259" i="23"/>
  <c r="AD259" i="23"/>
  <c r="N262" i="23"/>
  <c r="AC262" i="23"/>
  <c r="N264" i="23"/>
  <c r="AC264" i="23"/>
  <c r="N267" i="23"/>
  <c r="AC267" i="23"/>
  <c r="N269" i="23"/>
  <c r="AC269" i="23"/>
  <c r="N272" i="23"/>
  <c r="AC272" i="23"/>
  <c r="N279" i="23"/>
  <c r="AC279" i="23"/>
  <c r="N283" i="23"/>
  <c r="AC283" i="23"/>
  <c r="O285" i="23"/>
  <c r="AD285" i="23"/>
  <c r="AD288" i="23"/>
  <c r="AB286" i="23" s="1"/>
  <c r="N293" i="23"/>
  <c r="AC293" i="23"/>
  <c r="N295" i="23"/>
  <c r="AC295" i="23"/>
  <c r="N297" i="23"/>
  <c r="AC297" i="23"/>
  <c r="N301" i="23"/>
  <c r="AC301" i="23"/>
  <c r="N303" i="23"/>
  <c r="AC303" i="23"/>
  <c r="N307" i="23"/>
  <c r="AC307" i="23"/>
  <c r="N310" i="23"/>
  <c r="AC310" i="23"/>
  <c r="N312" i="23"/>
  <c r="AC312" i="23"/>
  <c r="O317" i="23"/>
  <c r="AD317" i="23"/>
  <c r="AD325" i="23"/>
  <c r="N328" i="23"/>
  <c r="AC328" i="23"/>
  <c r="N332" i="23"/>
  <c r="AC332" i="23"/>
  <c r="O335" i="23"/>
  <c r="AD335" i="23"/>
  <c r="N338" i="23"/>
  <c r="AC338" i="23"/>
  <c r="N344" i="23"/>
  <c r="AC344" i="23"/>
  <c r="N346" i="23"/>
  <c r="AC346" i="23"/>
  <c r="N348" i="23"/>
  <c r="AC348" i="23"/>
  <c r="N353" i="23"/>
  <c r="AC353" i="23"/>
  <c r="O355" i="23"/>
  <c r="AD355" i="23"/>
  <c r="AD364" i="23"/>
  <c r="N367" i="23"/>
  <c r="AC367" i="23"/>
  <c r="N371" i="23"/>
  <c r="AC371" i="23"/>
  <c r="N376" i="23"/>
  <c r="AC376" i="23"/>
  <c r="AC378" i="23"/>
  <c r="AD384" i="23"/>
  <c r="N400" i="23"/>
  <c r="N407" i="23"/>
  <c r="AC407" i="23"/>
  <c r="N410" i="23"/>
  <c r="AC410" i="23"/>
  <c r="N412" i="23"/>
  <c r="AC412" i="23"/>
  <c r="N415" i="23"/>
  <c r="AC415" i="23"/>
  <c r="N418" i="23"/>
  <c r="AC418" i="23"/>
  <c r="N421" i="23"/>
  <c r="AC421" i="23"/>
  <c r="O427" i="23"/>
  <c r="AD427" i="23"/>
  <c r="AD433" i="23"/>
  <c r="O438" i="23"/>
  <c r="AD438" i="23"/>
  <c r="O441" i="23"/>
  <c r="AD441" i="23"/>
  <c r="O444" i="23"/>
  <c r="AD444" i="23"/>
  <c r="O446" i="23"/>
  <c r="AD446" i="23"/>
  <c r="O449" i="23"/>
  <c r="AD449" i="23"/>
  <c r="O450" i="23"/>
  <c r="AD450" i="23"/>
  <c r="O452" i="23"/>
  <c r="AD452" i="23"/>
  <c r="O454" i="23"/>
  <c r="AD454" i="23"/>
  <c r="O457" i="23"/>
  <c r="AD457" i="23"/>
  <c r="O459" i="23"/>
  <c r="AD459" i="23"/>
  <c r="N462" i="23"/>
  <c r="AC462" i="23"/>
  <c r="N464" i="23"/>
  <c r="AC464" i="23"/>
  <c r="N466" i="23"/>
  <c r="AC466" i="23"/>
  <c r="N469" i="23"/>
  <c r="AC469" i="23"/>
  <c r="N471" i="23"/>
  <c r="AC471" i="23"/>
  <c r="N473" i="23"/>
  <c r="AC473" i="23"/>
  <c r="N476" i="23"/>
  <c r="AC476" i="23"/>
  <c r="N478" i="23"/>
  <c r="AC478" i="23"/>
  <c r="N480" i="23"/>
  <c r="AC480" i="23"/>
  <c r="N482" i="23"/>
  <c r="AC482" i="23"/>
  <c r="N485" i="23"/>
  <c r="AC485" i="23"/>
  <c r="N488" i="23"/>
  <c r="AC488" i="23"/>
  <c r="N490" i="23"/>
  <c r="AC490" i="23"/>
  <c r="N14" i="23"/>
  <c r="AC14" i="23"/>
  <c r="N18" i="23"/>
  <c r="AC18" i="23"/>
  <c r="N20" i="23"/>
  <c r="AC20" i="23"/>
  <c r="N22" i="23"/>
  <c r="AC22" i="23"/>
  <c r="N24" i="23"/>
  <c r="AC24" i="23"/>
  <c r="N27" i="23"/>
  <c r="AC27" i="23"/>
  <c r="N29" i="23"/>
  <c r="AC29" i="23"/>
  <c r="N31" i="23"/>
  <c r="AC31" i="23"/>
  <c r="N33" i="23"/>
  <c r="AC33" i="23"/>
  <c r="N35" i="23"/>
  <c r="AC35" i="23"/>
  <c r="N40" i="23"/>
  <c r="AC40" i="23"/>
  <c r="N43" i="23"/>
  <c r="AC43" i="23"/>
  <c r="N46" i="23"/>
  <c r="AC46" i="23"/>
  <c r="O51" i="23"/>
  <c r="AD51" i="23"/>
  <c r="N55" i="23"/>
  <c r="AC55" i="23"/>
  <c r="N58" i="23"/>
  <c r="AC58" i="23"/>
  <c r="N60" i="23"/>
  <c r="AC60" i="23"/>
  <c r="N63" i="23"/>
  <c r="AC63" i="23"/>
  <c r="N66" i="23"/>
  <c r="N68" i="23"/>
  <c r="N72" i="23"/>
  <c r="O74" i="23"/>
  <c r="AD74" i="23"/>
  <c r="O76" i="23"/>
  <c r="AD76" i="23"/>
  <c r="N78" i="23"/>
  <c r="AC78" i="23"/>
  <c r="O84" i="23"/>
  <c r="AD84" i="23"/>
  <c r="O85" i="23"/>
  <c r="AD85" i="23"/>
  <c r="O87" i="23"/>
  <c r="AD87" i="23"/>
  <c r="N92" i="23"/>
  <c r="AC92" i="23"/>
  <c r="N95" i="23"/>
  <c r="AC95" i="23"/>
  <c r="N97" i="23"/>
  <c r="AC97" i="23"/>
  <c r="N99" i="23"/>
  <c r="AC99" i="23"/>
  <c r="N102" i="23"/>
  <c r="AC102" i="23"/>
  <c r="O111" i="23"/>
  <c r="AD111" i="23"/>
  <c r="O114" i="23"/>
  <c r="AD114" i="23"/>
  <c r="AD118" i="23"/>
  <c r="O121" i="23"/>
  <c r="AD121" i="23"/>
  <c r="O125" i="23"/>
  <c r="AD125" i="23"/>
  <c r="O127" i="23"/>
  <c r="AD127" i="23"/>
  <c r="O129" i="23"/>
  <c r="AD129" i="23"/>
  <c r="O134" i="23"/>
  <c r="AD134" i="23"/>
  <c r="AD137" i="23"/>
  <c r="O140" i="23"/>
  <c r="AD140" i="23"/>
  <c r="O143" i="23"/>
  <c r="AD143" i="23"/>
  <c r="AD147" i="23"/>
  <c r="O152" i="23"/>
  <c r="AD152" i="23"/>
  <c r="O155" i="23"/>
  <c r="AD155" i="23"/>
  <c r="AC159" i="23"/>
  <c r="N167" i="23"/>
  <c r="AC167" i="23"/>
  <c r="N169" i="23"/>
  <c r="AC169" i="23"/>
  <c r="N171" i="23"/>
  <c r="AC171" i="23"/>
  <c r="N173" i="23"/>
  <c r="AC173" i="23"/>
  <c r="N175" i="23"/>
  <c r="AC175" i="23"/>
  <c r="N178" i="23"/>
  <c r="AC178" i="23"/>
  <c r="O180" i="23"/>
  <c r="AD180" i="23"/>
  <c r="N182" i="23"/>
  <c r="AC182" i="23"/>
  <c r="N185" i="23"/>
  <c r="AC185" i="23"/>
  <c r="N187" i="23"/>
  <c r="AC187" i="23"/>
  <c r="N190" i="23"/>
  <c r="AC190" i="23"/>
  <c r="N192" i="23"/>
  <c r="AC192" i="23"/>
  <c r="N195" i="23"/>
  <c r="AC195" i="23"/>
  <c r="N198" i="23"/>
  <c r="AC198" i="23"/>
  <c r="N201" i="23"/>
  <c r="AC201" i="23"/>
  <c r="N203" i="23"/>
  <c r="AC203" i="23"/>
  <c r="N205" i="23"/>
  <c r="AC205" i="23"/>
  <c r="N207" i="23"/>
  <c r="AC207" i="23"/>
  <c r="N210" i="23"/>
  <c r="AC210" i="23"/>
  <c r="N213" i="23"/>
  <c r="AC213" i="23"/>
  <c r="N215" i="23"/>
  <c r="AC215" i="23"/>
  <c r="N221" i="23"/>
  <c r="AC221" i="23"/>
  <c r="N224" i="23"/>
  <c r="AC224" i="23"/>
  <c r="N228" i="23"/>
  <c r="AC228" i="23"/>
  <c r="N233" i="23"/>
  <c r="AC233" i="23"/>
  <c r="N237" i="23"/>
  <c r="AC237" i="23"/>
  <c r="N241" i="23"/>
  <c r="AC241" i="23"/>
  <c r="N245" i="23"/>
  <c r="AC245" i="23"/>
  <c r="N251" i="23"/>
  <c r="AC251" i="23"/>
  <c r="N255" i="23"/>
  <c r="AC255" i="23"/>
  <c r="N259" i="23"/>
  <c r="AC259" i="23"/>
  <c r="O262" i="23"/>
  <c r="AD262" i="23"/>
  <c r="O264" i="23"/>
  <c r="AD264" i="23"/>
  <c r="O267" i="23"/>
  <c r="AD267" i="23"/>
  <c r="O269" i="23"/>
  <c r="AD269" i="23"/>
  <c r="N275" i="23"/>
  <c r="AC275" i="23"/>
  <c r="O279" i="23"/>
  <c r="AD279" i="23"/>
  <c r="N284" i="23"/>
  <c r="AC284" i="23"/>
  <c r="N287" i="23"/>
  <c r="AC287" i="23"/>
  <c r="N289" i="23"/>
  <c r="AC289" i="23"/>
  <c r="O293" i="23"/>
  <c r="AD293" i="23"/>
  <c r="O295" i="23"/>
  <c r="AD295" i="23"/>
  <c r="O297" i="23"/>
  <c r="AD297" i="23"/>
  <c r="O301" i="23"/>
  <c r="AD301" i="23"/>
  <c r="N308" i="23"/>
  <c r="AC308" i="23"/>
  <c r="O310" i="23"/>
  <c r="AD310" i="23"/>
  <c r="AD312" i="23"/>
  <c r="N319" i="23"/>
  <c r="AC319" i="23"/>
  <c r="N322" i="23"/>
  <c r="AC322" i="23"/>
  <c r="N326" i="23"/>
  <c r="AC326" i="23"/>
  <c r="N331" i="23"/>
  <c r="AC331" i="23"/>
  <c r="N333" i="23"/>
  <c r="AC333" i="23"/>
  <c r="N336" i="23"/>
  <c r="AC336" i="23"/>
  <c r="O346" i="23"/>
  <c r="AD346" i="23"/>
  <c r="O348" i="23"/>
  <c r="AD348" i="23"/>
  <c r="O353" i="23"/>
  <c r="AD353" i="23"/>
  <c r="N357" i="23"/>
  <c r="AC357" i="23"/>
  <c r="N360" i="23"/>
  <c r="AC360" i="23"/>
  <c r="N363" i="23"/>
  <c r="AC363" i="23"/>
  <c r="N365" i="23"/>
  <c r="AC365" i="23"/>
  <c r="N368" i="23"/>
  <c r="AC368" i="23"/>
  <c r="N373" i="23"/>
  <c r="AC373" i="23"/>
  <c r="O376" i="23"/>
  <c r="AD376" i="23"/>
  <c r="AC379" i="23"/>
  <c r="N388" i="23"/>
  <c r="AC388" i="23"/>
  <c r="N390" i="23"/>
  <c r="AC390" i="23"/>
  <c r="N392" i="23"/>
  <c r="AC392" i="23"/>
  <c r="N394" i="23"/>
  <c r="AC394" i="23"/>
  <c r="AA396" i="23"/>
  <c r="Z396" i="23"/>
  <c r="AB396" i="23"/>
  <c r="AD410" i="23"/>
  <c r="AD412" i="23"/>
  <c r="AD415" i="23"/>
  <c r="AD421" i="23"/>
  <c r="N429" i="23"/>
  <c r="AC429" i="23"/>
  <c r="N435" i="23"/>
  <c r="AC435" i="23"/>
  <c r="N437" i="23"/>
  <c r="AC437" i="23"/>
  <c r="N440" i="23"/>
  <c r="AC440" i="23"/>
  <c r="N443" i="23"/>
  <c r="AC443" i="23"/>
  <c r="N445" i="23"/>
  <c r="AC445" i="23"/>
  <c r="N448" i="23"/>
  <c r="AC448" i="23"/>
  <c r="N451" i="23"/>
  <c r="AC451" i="23"/>
  <c r="N455" i="23"/>
  <c r="AC455" i="23"/>
  <c r="N458" i="23"/>
  <c r="AC458" i="23"/>
  <c r="N460" i="23"/>
  <c r="AC460" i="23"/>
  <c r="O462" i="23"/>
  <c r="AD462" i="23"/>
  <c r="O464" i="23"/>
  <c r="AD464" i="23"/>
  <c r="O466" i="23"/>
  <c r="AD466" i="23"/>
  <c r="O469" i="23"/>
  <c r="AD469" i="23"/>
  <c r="O473" i="23"/>
  <c r="AD473" i="23"/>
  <c r="O476" i="23"/>
  <c r="AD476" i="23"/>
  <c r="O478" i="23"/>
  <c r="AD478" i="23"/>
  <c r="O480" i="23"/>
  <c r="AD480" i="23"/>
  <c r="O482" i="23"/>
  <c r="AD482" i="23"/>
  <c r="AD485" i="23"/>
  <c r="O488" i="23"/>
  <c r="AD488" i="23"/>
  <c r="O490" i="23"/>
  <c r="AD490" i="23"/>
  <c r="F120" i="28"/>
  <c r="H157" i="23"/>
  <c r="H54" i="23"/>
  <c r="H53" i="23"/>
  <c r="N9" i="22" l="1"/>
  <c r="H243" i="23"/>
  <c r="I47" i="22" s="1"/>
  <c r="T243" i="23"/>
  <c r="E47" i="22" s="1"/>
  <c r="V243" i="23"/>
  <c r="G47" i="22" s="1"/>
  <c r="W243" i="23"/>
  <c r="H47" i="22" s="1"/>
  <c r="U243" i="23"/>
  <c r="F47" i="22" s="1"/>
  <c r="Z243" i="23"/>
  <c r="J47" i="22" s="1"/>
  <c r="AB243" i="23"/>
  <c r="L47" i="22" s="1"/>
  <c r="AA243" i="23"/>
  <c r="K47" i="22" s="1"/>
  <c r="I374" i="23"/>
  <c r="H352" i="23"/>
  <c r="I423" i="23"/>
  <c r="Z299" i="23"/>
  <c r="Z103" i="23"/>
  <c r="J22" i="22" s="1"/>
  <c r="H320" i="23"/>
  <c r="I320" i="23"/>
  <c r="Z153" i="23"/>
  <c r="W486" i="23"/>
  <c r="I64" i="23"/>
  <c r="I352" i="23"/>
  <c r="Z232" i="23"/>
  <c r="W148" i="23"/>
  <c r="W141" i="23"/>
  <c r="F6" i="28"/>
  <c r="K9" i="28"/>
  <c r="K8" i="28"/>
  <c r="K10" i="28" s="1"/>
  <c r="W366" i="23"/>
  <c r="W306" i="23"/>
  <c r="U176" i="23"/>
  <c r="AA148" i="23"/>
  <c r="W61" i="23"/>
  <c r="Z467" i="23"/>
  <c r="W423" i="23"/>
  <c r="Z413" i="23"/>
  <c r="U381" i="23"/>
  <c r="Z423" i="23"/>
  <c r="AB299" i="23"/>
  <c r="O52" i="23"/>
  <c r="AD52" i="23"/>
  <c r="Z49" i="23" s="1"/>
  <c r="AB409" i="23"/>
  <c r="AA409" i="23"/>
  <c r="Z409" i="23"/>
  <c r="U409" i="23"/>
  <c r="W409" i="23"/>
  <c r="V409" i="23"/>
  <c r="T409" i="23"/>
  <c r="W401" i="23"/>
  <c r="V401" i="23"/>
  <c r="U401" i="23"/>
  <c r="T401" i="23"/>
  <c r="AB386" i="23"/>
  <c r="AA386" i="23"/>
  <c r="Z386" i="23"/>
  <c r="W374" i="23"/>
  <c r="U366" i="23"/>
  <c r="V366" i="23"/>
  <c r="T366" i="23"/>
  <c r="V352" i="23"/>
  <c r="U352" i="23"/>
  <c r="T352" i="23"/>
  <c r="AB320" i="23"/>
  <c r="Z320" i="23"/>
  <c r="AA320" i="23"/>
  <c r="V306" i="23"/>
  <c r="U306" i="23"/>
  <c r="T306" i="23"/>
  <c r="U292" i="23"/>
  <c r="T292" i="23"/>
  <c r="W292" i="23"/>
  <c r="V292" i="23"/>
  <c r="Z278" i="23"/>
  <c r="U278" i="23"/>
  <c r="T278" i="23"/>
  <c r="W278" i="23"/>
  <c r="V278" i="23"/>
  <c r="Z257" i="23"/>
  <c r="Z184" i="23"/>
  <c r="AA176" i="23"/>
  <c r="AB176" i="23"/>
  <c r="W107" i="23"/>
  <c r="T83" i="23"/>
  <c r="V83" i="23"/>
  <c r="U83" i="23"/>
  <c r="Z64" i="23"/>
  <c r="AB64" i="23"/>
  <c r="AA64" i="23"/>
  <c r="AB36" i="23"/>
  <c r="Z36" i="23"/>
  <c r="AA36" i="23"/>
  <c r="AB486" i="23"/>
  <c r="AA486" i="23"/>
  <c r="Z486" i="23"/>
  <c r="AB467" i="23"/>
  <c r="AA467" i="23"/>
  <c r="W439" i="23"/>
  <c r="AB419" i="23"/>
  <c r="AA419" i="23"/>
  <c r="Z419" i="23"/>
  <c r="AB413" i="23"/>
  <c r="AA413" i="23"/>
  <c r="W386" i="23"/>
  <c r="W381" i="23"/>
  <c r="T381" i="23"/>
  <c r="V381" i="23"/>
  <c r="U324" i="23"/>
  <c r="T324" i="23"/>
  <c r="V324" i="23"/>
  <c r="W324" i="23"/>
  <c r="U316" i="23"/>
  <c r="F60" i="22" s="1"/>
  <c r="T316" i="23"/>
  <c r="E60" i="22" s="1"/>
  <c r="W316" i="23"/>
  <c r="H60" i="22" s="1"/>
  <c r="V316" i="23"/>
  <c r="G60" i="22" s="1"/>
  <c r="AB306" i="23"/>
  <c r="AA306" i="23"/>
  <c r="Z306" i="23"/>
  <c r="U64" i="23"/>
  <c r="T64" i="23"/>
  <c r="V64" i="23"/>
  <c r="W64" i="23"/>
  <c r="U36" i="23"/>
  <c r="T36" i="23"/>
  <c r="W36" i="23"/>
  <c r="V36" i="23"/>
  <c r="AB439" i="23"/>
  <c r="Z439" i="23"/>
  <c r="AA439" i="23"/>
  <c r="Z428" i="23"/>
  <c r="AB428" i="23"/>
  <c r="AA428" i="23"/>
  <c r="AB423" i="23"/>
  <c r="AB220" i="23"/>
  <c r="Z220" i="23"/>
  <c r="AA220" i="23"/>
  <c r="Z166" i="23"/>
  <c r="AB166" i="23"/>
  <c r="AA166" i="23"/>
  <c r="T132" i="23"/>
  <c r="W132" i="23"/>
  <c r="U132" i="23"/>
  <c r="V132" i="23"/>
  <c r="V107" i="23"/>
  <c r="U107" i="23"/>
  <c r="T107" i="23"/>
  <c r="Z93" i="23"/>
  <c r="W83" i="23"/>
  <c r="T73" i="23"/>
  <c r="Z25" i="23"/>
  <c r="Z16" i="23"/>
  <c r="U434" i="23"/>
  <c r="T434" i="23"/>
  <c r="W434" i="23"/>
  <c r="V434" i="23"/>
  <c r="N157" i="23"/>
  <c r="AC157" i="23"/>
  <c r="W138" i="23" s="1"/>
  <c r="W456" i="23"/>
  <c r="W447" i="23"/>
  <c r="T447" i="23"/>
  <c r="U447" i="23"/>
  <c r="V447" i="23"/>
  <c r="U428" i="23"/>
  <c r="W428" i="23"/>
  <c r="T428" i="23"/>
  <c r="V428" i="23"/>
  <c r="AB292" i="23"/>
  <c r="AA292" i="23"/>
  <c r="Z292" i="23"/>
  <c r="V286" i="23"/>
  <c r="T286" i="23"/>
  <c r="AA278" i="23"/>
  <c r="AB278" i="23"/>
  <c r="V220" i="23"/>
  <c r="U220" i="23"/>
  <c r="W209" i="23"/>
  <c r="H42" i="22" s="1"/>
  <c r="V209" i="23"/>
  <c r="G42" i="22" s="1"/>
  <c r="U209" i="23"/>
  <c r="F42" i="22" s="1"/>
  <c r="T209" i="23"/>
  <c r="E42" i="22" s="1"/>
  <c r="U200" i="23"/>
  <c r="F41" i="22" s="1"/>
  <c r="W200" i="23"/>
  <c r="H41" i="22" s="1"/>
  <c r="T200" i="23"/>
  <c r="E41" i="22" s="1"/>
  <c r="W189" i="23"/>
  <c r="U189" i="23"/>
  <c r="V189" i="23"/>
  <c r="T189" i="23"/>
  <c r="V184" i="23"/>
  <c r="T184" i="23"/>
  <c r="U184" i="23"/>
  <c r="U166" i="23"/>
  <c r="V166" i="23"/>
  <c r="T166" i="23"/>
  <c r="W166" i="23"/>
  <c r="AB132" i="23"/>
  <c r="AA132" i="23"/>
  <c r="Z132" i="23"/>
  <c r="AB119" i="23"/>
  <c r="Z119" i="23"/>
  <c r="AA119" i="23"/>
  <c r="AA113" i="23"/>
  <c r="AB113" i="23"/>
  <c r="Z113" i="23"/>
  <c r="W93" i="23"/>
  <c r="AA83" i="23"/>
  <c r="AB83" i="23"/>
  <c r="T423" i="23"/>
  <c r="W286" i="23"/>
  <c r="AB257" i="23"/>
  <c r="AA257" i="23"/>
  <c r="T196" i="23"/>
  <c r="Z148" i="23"/>
  <c r="AB138" i="23"/>
  <c r="AA138" i="23"/>
  <c r="Z138" i="23"/>
  <c r="AB107" i="23"/>
  <c r="AA107" i="23"/>
  <c r="Z83" i="23"/>
  <c r="U405" i="23"/>
  <c r="AA356" i="23"/>
  <c r="AB356" i="23"/>
  <c r="Z356" i="23"/>
  <c r="W352" i="23"/>
  <c r="AA286" i="23"/>
  <c r="N54" i="23"/>
  <c r="AC54" i="23"/>
  <c r="V439" i="23"/>
  <c r="U439" i="23"/>
  <c r="T439" i="23"/>
  <c r="Z475" i="23"/>
  <c r="AB475" i="23"/>
  <c r="AA475" i="23"/>
  <c r="V442" i="23"/>
  <c r="U442" i="23"/>
  <c r="T442" i="23"/>
  <c r="U356" i="23"/>
  <c r="T356" i="23"/>
  <c r="W356" i="23"/>
  <c r="V356" i="23"/>
  <c r="W330" i="23"/>
  <c r="T330" i="23"/>
  <c r="V330" i="23"/>
  <c r="U330" i="23"/>
  <c r="N53" i="23"/>
  <c r="AC53" i="23"/>
  <c r="U423" i="23"/>
  <c r="T405" i="23"/>
  <c r="W405" i="23"/>
  <c r="V405" i="23"/>
  <c r="U396" i="23"/>
  <c r="T396" i="23"/>
  <c r="W396" i="23"/>
  <c r="V396" i="23"/>
  <c r="AB381" i="23"/>
  <c r="AA381" i="23"/>
  <c r="Z381" i="23"/>
  <c r="V340" i="23"/>
  <c r="T340" i="23"/>
  <c r="W340" i="23"/>
  <c r="AB324" i="23"/>
  <c r="Z324" i="23"/>
  <c r="AA324" i="23"/>
  <c r="Z316" i="23"/>
  <c r="J60" i="22" s="1"/>
  <c r="AA316" i="23"/>
  <c r="K60" i="22" s="1"/>
  <c r="AB316" i="23"/>
  <c r="L60" i="22" s="1"/>
  <c r="U266" i="23"/>
  <c r="V266" i="23"/>
  <c r="W266" i="23"/>
  <c r="T261" i="23"/>
  <c r="V261" i="23"/>
  <c r="W261" i="23"/>
  <c r="AB239" i="23"/>
  <c r="L46" i="22" s="1"/>
  <c r="AA239" i="23"/>
  <c r="K46" i="22" s="1"/>
  <c r="AB211" i="23"/>
  <c r="AA211" i="23"/>
  <c r="Z211" i="23"/>
  <c r="Z200" i="23"/>
  <c r="J41" i="22" s="1"/>
  <c r="U119" i="23"/>
  <c r="V119" i="23"/>
  <c r="W119" i="23"/>
  <c r="T119" i="23"/>
  <c r="T113" i="23"/>
  <c r="U113" i="23"/>
  <c r="V113" i="23"/>
  <c r="W113" i="23"/>
  <c r="AA93" i="23"/>
  <c r="AB93" i="23"/>
  <c r="U73" i="23"/>
  <c r="V73" i="23"/>
  <c r="W73" i="23"/>
  <c r="AB61" i="23"/>
  <c r="Z61" i="23"/>
  <c r="AA61" i="23"/>
  <c r="AB56" i="23"/>
  <c r="AA56" i="23"/>
  <c r="Z56" i="23"/>
  <c r="AA25" i="23"/>
  <c r="AB25" i="23"/>
  <c r="AB16" i="23"/>
  <c r="AA16" i="23"/>
  <c r="U456" i="23"/>
  <c r="T456" i="23"/>
  <c r="V456" i="23"/>
  <c r="W442" i="23"/>
  <c r="V386" i="23"/>
  <c r="U386" i="23"/>
  <c r="T386" i="23"/>
  <c r="AB374" i="23"/>
  <c r="AA374" i="23"/>
  <c r="Z374" i="23"/>
  <c r="W320" i="23"/>
  <c r="U320" i="23"/>
  <c r="V320" i="23"/>
  <c r="T320" i="23"/>
  <c r="V61" i="23"/>
  <c r="T61" i="23"/>
  <c r="U61" i="23"/>
  <c r="V56" i="23"/>
  <c r="U56" i="23"/>
  <c r="T56" i="23"/>
  <c r="AB49" i="23"/>
  <c r="W25" i="23"/>
  <c r="V25" i="23"/>
  <c r="U25" i="23"/>
  <c r="T25" i="23"/>
  <c r="T16" i="23"/>
  <c r="W16" i="23"/>
  <c r="U16" i="23"/>
  <c r="V16" i="23"/>
  <c r="T491" i="23"/>
  <c r="W491" i="23"/>
  <c r="V491" i="23"/>
  <c r="U491" i="23"/>
  <c r="U486" i="23"/>
  <c r="V486" i="23"/>
  <c r="T486" i="23"/>
  <c r="U467" i="23"/>
  <c r="V467" i="23"/>
  <c r="W467" i="23"/>
  <c r="T467" i="23"/>
  <c r="AB447" i="23"/>
  <c r="Z447" i="23"/>
  <c r="AA447" i="23"/>
  <c r="AB442" i="23"/>
  <c r="AA442" i="23"/>
  <c r="Z442" i="23"/>
  <c r="Z434" i="23"/>
  <c r="AB434" i="23"/>
  <c r="AA434" i="23"/>
  <c r="AA423" i="23"/>
  <c r="Z286" i="23"/>
  <c r="T266" i="23"/>
  <c r="U261" i="23"/>
  <c r="V257" i="23"/>
  <c r="U257" i="23"/>
  <c r="W257" i="23"/>
  <c r="H49" i="22" s="1"/>
  <c r="T257" i="23"/>
  <c r="AB254" i="23"/>
  <c r="L48" i="22" s="1"/>
  <c r="Z254" i="23"/>
  <c r="J48" i="22" s="1"/>
  <c r="AA254" i="23"/>
  <c r="K48" i="22" s="1"/>
  <c r="Z239" i="23"/>
  <c r="J46" i="22" s="1"/>
  <c r="AB232" i="23"/>
  <c r="AA232" i="23"/>
  <c r="AB209" i="23"/>
  <c r="L42" i="22" s="1"/>
  <c r="AA209" i="23"/>
  <c r="K42" i="22" s="1"/>
  <c r="Z209" i="23"/>
  <c r="J42" i="22" s="1"/>
  <c r="AB200" i="23"/>
  <c r="L41" i="22" s="1"/>
  <c r="AA200" i="23"/>
  <c r="K41" i="22" s="1"/>
  <c r="AB189" i="23"/>
  <c r="Z189" i="23"/>
  <c r="AA189" i="23"/>
  <c r="AB184" i="23"/>
  <c r="AA184" i="23"/>
  <c r="Z176" i="23"/>
  <c r="Z172" i="23"/>
  <c r="AA172" i="23"/>
  <c r="AB172" i="23"/>
  <c r="AA158" i="23"/>
  <c r="AB158" i="23"/>
  <c r="Z158" i="23"/>
  <c r="T148" i="23"/>
  <c r="U148" i="23"/>
  <c r="V148" i="23"/>
  <c r="T141" i="23"/>
  <c r="U141" i="23"/>
  <c r="V141" i="23"/>
  <c r="W103" i="23"/>
  <c r="H22" i="22" s="1"/>
  <c r="T103" i="23"/>
  <c r="E22" i="22" s="1"/>
  <c r="U103" i="23"/>
  <c r="F22" i="22" s="1"/>
  <c r="V103" i="23"/>
  <c r="G22" i="22" s="1"/>
  <c r="AA42" i="23"/>
  <c r="AB42" i="23"/>
  <c r="Z42" i="23"/>
  <c r="AB352" i="23"/>
  <c r="AA352" i="23"/>
  <c r="Z352" i="23"/>
  <c r="AB340" i="23"/>
  <c r="Z340" i="23"/>
  <c r="AA340" i="23"/>
  <c r="W274" i="23"/>
  <c r="V274" i="23"/>
  <c r="T274" i="23"/>
  <c r="U274" i="23"/>
  <c r="AB266" i="23"/>
  <c r="AA266" i="23"/>
  <c r="Z266" i="23"/>
  <c r="AB261" i="23"/>
  <c r="AA261" i="23"/>
  <c r="Z261" i="23"/>
  <c r="V254" i="23"/>
  <c r="G48" i="22" s="1"/>
  <c r="T254" i="23"/>
  <c r="E48" i="22" s="1"/>
  <c r="W254" i="23"/>
  <c r="H48" i="22" s="1"/>
  <c r="U254" i="23"/>
  <c r="F48" i="22" s="1"/>
  <c r="W232" i="23"/>
  <c r="T232" i="23"/>
  <c r="U232" i="23"/>
  <c r="V232" i="23"/>
  <c r="T220" i="23"/>
  <c r="W220" i="23"/>
  <c r="W176" i="23"/>
  <c r="U172" i="23"/>
  <c r="W172" i="23"/>
  <c r="V172" i="23"/>
  <c r="T172" i="23"/>
  <c r="T158" i="23"/>
  <c r="V158" i="23"/>
  <c r="U158" i="23"/>
  <c r="W158" i="23"/>
  <c r="Z107" i="23"/>
  <c r="Z73" i="23"/>
  <c r="AB73" i="23"/>
  <c r="AA73" i="23"/>
  <c r="W56" i="23"/>
  <c r="V42" i="23"/>
  <c r="W42" i="23"/>
  <c r="T42" i="23"/>
  <c r="U42" i="23"/>
  <c r="U475" i="23"/>
  <c r="W475" i="23"/>
  <c r="T475" i="23"/>
  <c r="V475" i="23"/>
  <c r="AA456" i="23"/>
  <c r="Z456" i="23"/>
  <c r="AB456" i="23"/>
  <c r="V423" i="23"/>
  <c r="AA299" i="23"/>
  <c r="U286" i="23"/>
  <c r="V239" i="23"/>
  <c r="G46" i="22" s="1"/>
  <c r="U239" i="23"/>
  <c r="F46" i="22" s="1"/>
  <c r="T239" i="23"/>
  <c r="E46" i="22" s="1"/>
  <c r="W239" i="23"/>
  <c r="H46" i="22" s="1"/>
  <c r="W211" i="23"/>
  <c r="U211" i="23"/>
  <c r="V211" i="23"/>
  <c r="T211" i="23"/>
  <c r="V200" i="23"/>
  <c r="G41" i="22" s="1"/>
  <c r="U196" i="23"/>
  <c r="V196" i="23"/>
  <c r="W196" i="23"/>
  <c r="W184" i="23"/>
  <c r="V176" i="23"/>
  <c r="T176" i="23"/>
  <c r="AA153" i="23"/>
  <c r="AB153" i="23"/>
  <c r="AB148" i="23"/>
  <c r="AB141" i="23"/>
  <c r="Z141" i="23"/>
  <c r="AA141" i="23"/>
  <c r="AB103" i="23"/>
  <c r="L22" i="22" s="1"/>
  <c r="AA103" i="23"/>
  <c r="K22" i="22" s="1"/>
  <c r="V93" i="23"/>
  <c r="T93" i="23"/>
  <c r="U93" i="23"/>
  <c r="U419" i="23"/>
  <c r="W419" i="23"/>
  <c r="V419" i="23"/>
  <c r="T419" i="23"/>
  <c r="U413" i="23"/>
  <c r="W413" i="23"/>
  <c r="V413" i="23"/>
  <c r="T413" i="23"/>
  <c r="U374" i="23"/>
  <c r="V374" i="23"/>
  <c r="T374" i="23"/>
  <c r="U340" i="23"/>
  <c r="AB330" i="23"/>
  <c r="AA330" i="23"/>
  <c r="Z330" i="23"/>
  <c r="W299" i="23"/>
  <c r="U299" i="23"/>
  <c r="T299" i="23"/>
  <c r="V299" i="23"/>
  <c r="AA49" i="23" l="1"/>
  <c r="K13" i="28"/>
  <c r="K12" i="28"/>
  <c r="Z6" i="23"/>
  <c r="AB6" i="23"/>
  <c r="V153" i="23"/>
  <c r="AA6" i="23"/>
  <c r="AA496" i="23" s="1"/>
  <c r="W49" i="23"/>
  <c r="T153" i="23"/>
  <c r="U49" i="23"/>
  <c r="V138" i="23"/>
  <c r="U153" i="23"/>
  <c r="S423" i="23"/>
  <c r="T6" i="23"/>
  <c r="U138" i="23"/>
  <c r="S278" i="23"/>
  <c r="W6" i="23"/>
  <c r="W496" i="23" s="1"/>
  <c r="S184" i="23"/>
  <c r="T49" i="23"/>
  <c r="T138" i="23"/>
  <c r="S381" i="23"/>
  <c r="W153" i="23"/>
  <c r="S352" i="23"/>
  <c r="S409" i="23"/>
  <c r="S257" i="23"/>
  <c r="S386" i="23"/>
  <c r="V6" i="23"/>
  <c r="S447" i="23"/>
  <c r="V49" i="23"/>
  <c r="S320" i="23"/>
  <c r="U6" i="23"/>
  <c r="S107" i="23"/>
  <c r="S64" i="23"/>
  <c r="S401" i="23"/>
  <c r="V496" i="23" l="1"/>
  <c r="V5" i="23" s="1"/>
  <c r="U496" i="23"/>
  <c r="U5" i="23" s="1"/>
  <c r="T496" i="23"/>
  <c r="T5" i="23" s="1"/>
  <c r="W5" i="23"/>
  <c r="Z496" i="23"/>
  <c r="Z5" i="23" s="1"/>
  <c r="AB496" i="23"/>
  <c r="AB5" i="23" s="1"/>
  <c r="AA5" i="23"/>
  <c r="K14" i="28"/>
  <c r="K17" i="28" s="1"/>
  <c r="S138" i="23"/>
  <c r="S6" i="23"/>
  <c r="S496" i="23" s="1"/>
  <c r="Y1" i="23" l="1"/>
  <c r="AB1" i="23" s="1"/>
  <c r="K16" i="28"/>
  <c r="S5" i="23"/>
  <c r="R5" i="23" s="1"/>
  <c r="T1" i="23" s="1"/>
  <c r="AA1" i="23" l="1"/>
  <c r="Z1" i="23"/>
  <c r="K18" i="28"/>
  <c r="K21" i="28" s="1"/>
  <c r="S1" i="23"/>
  <c r="W1" i="23"/>
  <c r="U1" i="23"/>
  <c r="V1" i="23"/>
  <c r="K20" i="28" l="1"/>
  <c r="K22" i="28" l="1"/>
  <c r="K24" i="28" s="1"/>
  <c r="K25" i="28" l="1"/>
  <c r="K28" i="28" l="1"/>
  <c r="K27" i="28"/>
  <c r="K31" i="28" l="1"/>
  <c r="K30" i="28"/>
  <c r="K34" i="28" l="1"/>
  <c r="K33" i="28"/>
  <c r="D36" i="22"/>
  <c r="K37" i="28" l="1"/>
  <c r="K36" i="28" l="1"/>
  <c r="R74" i="22"/>
  <c r="R75" i="22"/>
  <c r="R76" i="22"/>
  <c r="R77" i="22"/>
  <c r="R73" i="22"/>
  <c r="R72" i="22" l="1"/>
  <c r="V77" i="22" l="1"/>
  <c r="R90" i="22"/>
  <c r="L90" i="22"/>
  <c r="K90" i="22"/>
  <c r="J90" i="22"/>
  <c r="H90" i="22"/>
  <c r="G90" i="22"/>
  <c r="F90" i="22"/>
  <c r="E90" i="22"/>
  <c r="D90" i="22"/>
  <c r="C90" i="22"/>
  <c r="U77" i="22" l="1"/>
  <c r="W77" i="22"/>
  <c r="I299" i="23" l="1"/>
  <c r="H299" i="23"/>
  <c r="I254" i="23" l="1"/>
  <c r="M48" i="22" s="1"/>
  <c r="H254" i="23"/>
  <c r="I48" i="22" s="1"/>
  <c r="H491" i="23"/>
  <c r="I91" i="22" s="1"/>
  <c r="AK491" i="23" l="1"/>
  <c r="I176" i="23" l="1"/>
  <c r="M36" i="22" s="1"/>
  <c r="I83" i="23" l="1"/>
  <c r="H83" i="23"/>
  <c r="I103" i="23"/>
  <c r="M22" i="22" s="1"/>
  <c r="H103" i="23" l="1"/>
  <c r="I22" i="22" s="1"/>
  <c r="H61" i="23" l="1"/>
  <c r="R11" i="22" l="1"/>
  <c r="H56" i="23"/>
  <c r="I42" i="23"/>
  <c r="I56" i="23" l="1"/>
  <c r="M16" i="22" s="1"/>
  <c r="I61" i="23"/>
  <c r="M17" i="22" s="1"/>
  <c r="I356" i="23" l="1"/>
  <c r="H366" i="23" l="1"/>
  <c r="H356" i="23"/>
  <c r="I278" i="23"/>
  <c r="H278" i="23"/>
  <c r="R37" i="22" l="1"/>
  <c r="V37" i="22"/>
  <c r="C36" i="22"/>
  <c r="L36" i="22"/>
  <c r="K36" i="22"/>
  <c r="J36" i="22"/>
  <c r="H176" i="23" l="1"/>
  <c r="I36" i="22" s="1"/>
  <c r="E36" i="22" l="1"/>
  <c r="G36" i="22"/>
  <c r="F36" i="22"/>
  <c r="H36" i="22"/>
  <c r="D85" i="22" l="1"/>
  <c r="D84" i="22"/>
  <c r="D83" i="22"/>
  <c r="D82" i="22"/>
  <c r="R81" i="22" l="1"/>
  <c r="M40" i="22" l="1"/>
  <c r="R20" i="22" l="1"/>
  <c r="D91" i="22" l="1"/>
  <c r="D89" i="22"/>
  <c r="D88" i="22"/>
  <c r="D87" i="22"/>
  <c r="D86" i="22"/>
  <c r="D81" i="22"/>
  <c r="D80" i="22"/>
  <c r="D79" i="22"/>
  <c r="D78" i="22"/>
  <c r="D76" i="22"/>
  <c r="D70" i="22"/>
  <c r="D69" i="22"/>
  <c r="D68" i="22"/>
  <c r="D67" i="22"/>
  <c r="D64" i="22"/>
  <c r="D63" i="22"/>
  <c r="D62" i="22"/>
  <c r="D61" i="22"/>
  <c r="D59" i="22"/>
  <c r="D57" i="22"/>
  <c r="D56" i="22"/>
  <c r="D55" i="22"/>
  <c r="D54" i="22"/>
  <c r="D52" i="22"/>
  <c r="D51" i="22"/>
  <c r="D50" i="22"/>
  <c r="D49" i="22"/>
  <c r="D45" i="22"/>
  <c r="D44" i="22"/>
  <c r="D43" i="22"/>
  <c r="D40" i="22"/>
  <c r="D39" i="22"/>
  <c r="D38" i="22"/>
  <c r="D35" i="22"/>
  <c r="D34" i="22"/>
  <c r="D33" i="22"/>
  <c r="D31" i="22"/>
  <c r="D30" i="22"/>
  <c r="D29" i="22"/>
  <c r="D28" i="22"/>
  <c r="D26" i="22"/>
  <c r="D25" i="22"/>
  <c r="D24" i="22"/>
  <c r="D23" i="22"/>
  <c r="D21" i="22"/>
  <c r="D20" i="22"/>
  <c r="D19" i="22"/>
  <c r="D18" i="22"/>
  <c r="I17" i="22"/>
  <c r="D17" i="22"/>
  <c r="D16" i="22"/>
  <c r="D15" i="22"/>
  <c r="D14" i="22"/>
  <c r="D13" i="22"/>
  <c r="D12" i="22"/>
  <c r="D11" i="22"/>
  <c r="C38" i="22"/>
  <c r="C17" i="22"/>
  <c r="C15" i="22"/>
  <c r="C29" i="22"/>
  <c r="F29" i="22" l="1"/>
  <c r="F85" i="22"/>
  <c r="I428" i="23"/>
  <c r="M82" i="22" s="1"/>
  <c r="J17" i="22"/>
  <c r="K17" i="22"/>
  <c r="L17" i="22"/>
  <c r="H153" i="23"/>
  <c r="G29" i="22"/>
  <c r="H29" i="22" l="1"/>
  <c r="I107" i="23"/>
  <c r="H132" i="23"/>
  <c r="I119" i="23"/>
  <c r="C91" i="22"/>
  <c r="C89" i="22"/>
  <c r="C88" i="22"/>
  <c r="C87" i="22"/>
  <c r="C86" i="22"/>
  <c r="C85" i="22"/>
  <c r="H84" i="22"/>
  <c r="C84" i="22"/>
  <c r="H434" i="23"/>
  <c r="C83" i="22"/>
  <c r="J82" i="22"/>
  <c r="L82" i="22"/>
  <c r="C82" i="22"/>
  <c r="C81" i="22"/>
  <c r="C80" i="22"/>
  <c r="C79" i="22"/>
  <c r="C78" i="22"/>
  <c r="C76" i="22"/>
  <c r="C74" i="22"/>
  <c r="C72" i="22"/>
  <c r="C70" i="22"/>
  <c r="C69" i="22"/>
  <c r="C68" i="22"/>
  <c r="C67" i="22"/>
  <c r="C64" i="22"/>
  <c r="C63" i="22"/>
  <c r="C62" i="22"/>
  <c r="C61" i="22"/>
  <c r="C59" i="22"/>
  <c r="C56" i="22"/>
  <c r="C55" i="22"/>
  <c r="C54" i="22"/>
  <c r="C52" i="22"/>
  <c r="C51" i="22"/>
  <c r="C50" i="22"/>
  <c r="C49" i="22"/>
  <c r="C45" i="22"/>
  <c r="C44" i="22"/>
  <c r="C43" i="22"/>
  <c r="L40" i="22"/>
  <c r="C40" i="22"/>
  <c r="C39" i="22"/>
  <c r="C35" i="22"/>
  <c r="C34" i="22"/>
  <c r="C33" i="22"/>
  <c r="K31" i="22"/>
  <c r="F31" i="22"/>
  <c r="L31" i="22"/>
  <c r="G31" i="22"/>
  <c r="C31" i="22"/>
  <c r="I31" i="22"/>
  <c r="L30" i="22"/>
  <c r="C30" i="22"/>
  <c r="I148" i="23"/>
  <c r="L29" i="22"/>
  <c r="J29" i="22"/>
  <c r="I141" i="23"/>
  <c r="C28" i="22"/>
  <c r="L26" i="22"/>
  <c r="H26" i="22"/>
  <c r="C26" i="22"/>
  <c r="G25" i="22"/>
  <c r="C25" i="22"/>
  <c r="C24" i="22"/>
  <c r="I113" i="23"/>
  <c r="M24" i="22" s="1"/>
  <c r="C23" i="22"/>
  <c r="C21" i="22"/>
  <c r="C20" i="22"/>
  <c r="C19" i="22"/>
  <c r="C18" i="22"/>
  <c r="L16" i="22"/>
  <c r="K16" i="22"/>
  <c r="J16" i="22"/>
  <c r="C16" i="22"/>
  <c r="I16" i="22"/>
  <c r="C14" i="22"/>
  <c r="C13" i="22"/>
  <c r="C12" i="22"/>
  <c r="C11" i="22"/>
  <c r="H401" i="23" l="1"/>
  <c r="L85" i="22"/>
  <c r="I172" i="23"/>
  <c r="J35" i="22"/>
  <c r="H209" i="23"/>
  <c r="I42" i="22" s="1"/>
  <c r="J76" i="22"/>
  <c r="H396" i="23"/>
  <c r="I381" i="23"/>
  <c r="M30" i="22"/>
  <c r="M29" i="22"/>
  <c r="G45" i="22"/>
  <c r="H232" i="23"/>
  <c r="I45" i="22" s="1"/>
  <c r="I434" i="23"/>
  <c r="M83" i="22" s="1"/>
  <c r="H107" i="23"/>
  <c r="I209" i="23"/>
  <c r="M42" i="22" s="1"/>
  <c r="I26" i="22"/>
  <c r="M25" i="22"/>
  <c r="AK103" i="23"/>
  <c r="E20" i="22"/>
  <c r="H17" i="22"/>
  <c r="F17" i="22"/>
  <c r="G17" i="22"/>
  <c r="E17" i="22"/>
  <c r="K14" i="22"/>
  <c r="L14" i="22"/>
  <c r="J14" i="22"/>
  <c r="H16" i="22"/>
  <c r="F16" i="22"/>
  <c r="G16" i="22"/>
  <c r="E16" i="22"/>
  <c r="I49" i="23"/>
  <c r="M15" i="22" s="1"/>
  <c r="I153" i="23"/>
  <c r="K19" i="22"/>
  <c r="I132" i="23"/>
  <c r="M26" i="22" s="1"/>
  <c r="H113" i="23"/>
  <c r="I439" i="23"/>
  <c r="I83" i="22"/>
  <c r="C75" i="22"/>
  <c r="H74" i="22"/>
  <c r="C73" i="22"/>
  <c r="C57" i="22"/>
  <c r="L69" i="22"/>
  <c r="K69" i="22"/>
  <c r="M14" i="22"/>
  <c r="L76" i="22"/>
  <c r="K89" i="22"/>
  <c r="L89" i="22"/>
  <c r="J89" i="22"/>
  <c r="L83" i="22"/>
  <c r="J40" i="22"/>
  <c r="K40" i="22"/>
  <c r="H148" i="23"/>
  <c r="G55" i="22"/>
  <c r="J69" i="22"/>
  <c r="I75" i="22"/>
  <c r="M76" i="22"/>
  <c r="G52" i="22"/>
  <c r="K56" i="22"/>
  <c r="J59" i="22"/>
  <c r="L64" i="22"/>
  <c r="L80" i="22"/>
  <c r="H59" i="22"/>
  <c r="I232" i="23"/>
  <c r="M45" i="22" s="1"/>
  <c r="J55" i="22"/>
  <c r="L63" i="22"/>
  <c r="M74" i="22"/>
  <c r="J87" i="22"/>
  <c r="I456" i="23"/>
  <c r="H119" i="23"/>
  <c r="L24" i="22"/>
  <c r="K24" i="22"/>
  <c r="J24" i="22"/>
  <c r="H25" i="22"/>
  <c r="F25" i="22"/>
  <c r="G26" i="22"/>
  <c r="J28" i="22"/>
  <c r="L28" i="22"/>
  <c r="K28" i="22"/>
  <c r="G23" i="22"/>
  <c r="F23" i="22"/>
  <c r="E23" i="22"/>
  <c r="H23" i="22"/>
  <c r="L23" i="22"/>
  <c r="K23" i="22"/>
  <c r="J23" i="22"/>
  <c r="H24" i="22"/>
  <c r="G24" i="22"/>
  <c r="F24" i="22"/>
  <c r="E24" i="22"/>
  <c r="L25" i="22"/>
  <c r="K25" i="22"/>
  <c r="J25" i="22"/>
  <c r="E28" i="22"/>
  <c r="H28" i="22"/>
  <c r="G28" i="22"/>
  <c r="F28" i="22"/>
  <c r="E29" i="22"/>
  <c r="H30" i="22"/>
  <c r="G30" i="22"/>
  <c r="F30" i="22"/>
  <c r="E30" i="22"/>
  <c r="H64" i="23"/>
  <c r="E25" i="22"/>
  <c r="E26" i="22"/>
  <c r="J26" i="22"/>
  <c r="K29" i="22"/>
  <c r="J30" i="22"/>
  <c r="H31" i="22"/>
  <c r="F40" i="22"/>
  <c r="E40" i="22"/>
  <c r="H40" i="22"/>
  <c r="G40" i="22"/>
  <c r="F26" i="22"/>
  <c r="K26" i="22"/>
  <c r="H141" i="23"/>
  <c r="K30" i="22"/>
  <c r="J31" i="22"/>
  <c r="F45" i="22"/>
  <c r="L45" i="22"/>
  <c r="K45" i="22"/>
  <c r="J45" i="22"/>
  <c r="H45" i="22"/>
  <c r="G74" i="22"/>
  <c r="F74" i="22"/>
  <c r="G69" i="22"/>
  <c r="F69" i="22"/>
  <c r="E69" i="22"/>
  <c r="H69" i="22"/>
  <c r="L84" i="22"/>
  <c r="K84" i="22"/>
  <c r="J84" i="22"/>
  <c r="F81" i="22"/>
  <c r="E81" i="22"/>
  <c r="H81" i="22"/>
  <c r="G81" i="22"/>
  <c r="E82" i="22"/>
  <c r="H82" i="22"/>
  <c r="G82" i="22"/>
  <c r="F82" i="22"/>
  <c r="H83" i="22"/>
  <c r="G83" i="22"/>
  <c r="F83" i="22"/>
  <c r="E83" i="22"/>
  <c r="G84" i="22"/>
  <c r="E85" i="22"/>
  <c r="H85" i="22"/>
  <c r="G85" i="22"/>
  <c r="F91" i="22"/>
  <c r="K82" i="22"/>
  <c r="E84" i="22"/>
  <c r="H428" i="23"/>
  <c r="I82" i="22" s="1"/>
  <c r="F84" i="22"/>
  <c r="H439" i="23"/>
  <c r="R15" i="22"/>
  <c r="R12" i="22"/>
  <c r="V13" i="22"/>
  <c r="V14" i="22"/>
  <c r="R89" i="22"/>
  <c r="V89" i="22"/>
  <c r="R88" i="22"/>
  <c r="R87" i="22"/>
  <c r="R84" i="22"/>
  <c r="R83" i="22"/>
  <c r="R82" i="22"/>
  <c r="V80" i="22"/>
  <c r="R80" i="22"/>
  <c r="R79" i="22"/>
  <c r="V78" i="22"/>
  <c r="V76" i="22"/>
  <c r="V75" i="22"/>
  <c r="V74" i="22"/>
  <c r="V73" i="22"/>
  <c r="V72" i="22"/>
  <c r="V66" i="22"/>
  <c r="R65" i="22"/>
  <c r="V65" i="22"/>
  <c r="R64" i="22"/>
  <c r="V64" i="22"/>
  <c r="R63" i="22"/>
  <c r="V63" i="22"/>
  <c r="V62" i="22"/>
  <c r="R62" i="22"/>
  <c r="V61" i="22"/>
  <c r="R61" i="22"/>
  <c r="R60" i="22"/>
  <c r="V60" i="22"/>
  <c r="V59" i="22"/>
  <c r="R59" i="22"/>
  <c r="V58" i="22"/>
  <c r="R58" i="22"/>
  <c r="W58" i="22" s="1"/>
  <c r="R57" i="22"/>
  <c r="V57" i="22"/>
  <c r="V56" i="22"/>
  <c r="R55" i="22"/>
  <c r="V53" i="22"/>
  <c r="R53" i="22"/>
  <c r="V52" i="22"/>
  <c r="V51" i="22"/>
  <c r="V50" i="22"/>
  <c r="R50" i="22"/>
  <c r="V49" i="22"/>
  <c r="V48" i="22"/>
  <c r="R48" i="22"/>
  <c r="R47" i="22"/>
  <c r="V46" i="22"/>
  <c r="R46" i="22"/>
  <c r="V45" i="22"/>
  <c r="R45" i="22"/>
  <c r="V44" i="22"/>
  <c r="V41" i="22"/>
  <c r="R41" i="22"/>
  <c r="V40" i="22"/>
  <c r="R39" i="22"/>
  <c r="V39" i="22"/>
  <c r="V38" i="22"/>
  <c r="R36" i="22"/>
  <c r="V36" i="22"/>
  <c r="R35" i="22"/>
  <c r="V34" i="22"/>
  <c r="V33" i="22"/>
  <c r="R33" i="22"/>
  <c r="R32" i="22"/>
  <c r="V32" i="22"/>
  <c r="V31" i="22"/>
  <c r="R30" i="22"/>
  <c r="V29" i="22"/>
  <c r="V28" i="22"/>
  <c r="R28" i="22"/>
  <c r="V27" i="22"/>
  <c r="R27" i="22"/>
  <c r="V26" i="22"/>
  <c r="R26" i="22"/>
  <c r="V24" i="22"/>
  <c r="R24" i="22"/>
  <c r="V23" i="22"/>
  <c r="R23" i="22"/>
  <c r="R22" i="22"/>
  <c r="S22" i="22" s="1"/>
  <c r="T22" i="22" s="1"/>
  <c r="V22" i="22"/>
  <c r="V21" i="22"/>
  <c r="R21" i="22"/>
  <c r="V20" i="22"/>
  <c r="R19" i="22"/>
  <c r="V19" i="22"/>
  <c r="R17" i="22"/>
  <c r="S17" i="22" s="1"/>
  <c r="T17" i="22" s="1"/>
  <c r="V17" i="22"/>
  <c r="V16" i="22"/>
  <c r="V15" i="22"/>
  <c r="H381" i="23" l="1"/>
  <c r="E75" i="22"/>
  <c r="G75" i="22"/>
  <c r="H75" i="22"/>
  <c r="F75" i="22"/>
  <c r="E73" i="22"/>
  <c r="H447" i="23"/>
  <c r="I86" i="22" s="1"/>
  <c r="L86" i="22"/>
  <c r="I447" i="23"/>
  <c r="M86" i="22" s="1"/>
  <c r="H220" i="23"/>
  <c r="J86" i="22"/>
  <c r="K33" i="22"/>
  <c r="I220" i="23"/>
  <c r="K76" i="22"/>
  <c r="I184" i="23"/>
  <c r="M38" i="22" s="1"/>
  <c r="I211" i="23"/>
  <c r="K62" i="22"/>
  <c r="H211" i="23"/>
  <c r="G34" i="22"/>
  <c r="H184" i="23"/>
  <c r="I38" i="22" s="1"/>
  <c r="M31" i="22"/>
  <c r="I138" i="23"/>
  <c r="M28" i="22" s="1"/>
  <c r="W26" i="22"/>
  <c r="H39" i="22"/>
  <c r="G80" i="22"/>
  <c r="I30" i="22"/>
  <c r="U30" i="22" s="1"/>
  <c r="I29" i="22"/>
  <c r="G91" i="22"/>
  <c r="E45" i="22"/>
  <c r="L91" i="22"/>
  <c r="H91" i="22"/>
  <c r="K91" i="22"/>
  <c r="E91" i="22"/>
  <c r="J91" i="22"/>
  <c r="K81" i="22"/>
  <c r="J85" i="22"/>
  <c r="K85" i="22"/>
  <c r="F89" i="22"/>
  <c r="G89" i="22"/>
  <c r="E89" i="22"/>
  <c r="H89" i="22"/>
  <c r="E88" i="22"/>
  <c r="H261" i="23"/>
  <c r="K20" i="22"/>
  <c r="M81" i="22"/>
  <c r="H80" i="22"/>
  <c r="I442" i="23"/>
  <c r="M85" i="22" s="1"/>
  <c r="M84" i="22"/>
  <c r="I84" i="22"/>
  <c r="W84" i="22" s="1"/>
  <c r="J79" i="22"/>
  <c r="F80" i="22"/>
  <c r="L79" i="22"/>
  <c r="E80" i="22"/>
  <c r="K79" i="22"/>
  <c r="F34" i="22"/>
  <c r="E34" i="22"/>
  <c r="H34" i="22"/>
  <c r="H196" i="23"/>
  <c r="I40" i="22" s="1"/>
  <c r="I25" i="22"/>
  <c r="I24" i="22"/>
  <c r="W24" i="22" s="1"/>
  <c r="M23" i="22"/>
  <c r="I23" i="22"/>
  <c r="W23" i="22" s="1"/>
  <c r="H6" i="23"/>
  <c r="I10" i="22" s="1"/>
  <c r="I73" i="23"/>
  <c r="I6" i="23"/>
  <c r="M10" i="22" s="1"/>
  <c r="H16" i="23"/>
  <c r="I11" i="22" s="1"/>
  <c r="E15" i="22"/>
  <c r="J12" i="22"/>
  <c r="L12" i="22"/>
  <c r="K12" i="22"/>
  <c r="G12" i="22"/>
  <c r="F12" i="22"/>
  <c r="E12" i="22"/>
  <c r="G15" i="22"/>
  <c r="F15" i="22"/>
  <c r="K15" i="22"/>
  <c r="H15" i="22"/>
  <c r="F14" i="22"/>
  <c r="G14" i="22"/>
  <c r="H14" i="22"/>
  <c r="E14" i="22"/>
  <c r="G11" i="22"/>
  <c r="E11" i="22"/>
  <c r="H11" i="22"/>
  <c r="F11" i="22"/>
  <c r="E13" i="22"/>
  <c r="H13" i="22"/>
  <c r="F13" i="22"/>
  <c r="G13" i="22"/>
  <c r="J13" i="22"/>
  <c r="L13" i="22"/>
  <c r="K13" i="22"/>
  <c r="L15" i="22"/>
  <c r="L19" i="22"/>
  <c r="F62" i="22"/>
  <c r="H64" i="22"/>
  <c r="F64" i="22"/>
  <c r="E64" i="22"/>
  <c r="E62" i="22"/>
  <c r="F61" i="22"/>
  <c r="H61" i="22"/>
  <c r="J15" i="22"/>
  <c r="F87" i="22"/>
  <c r="J61" i="22"/>
  <c r="K61" i="22"/>
  <c r="L61" i="22"/>
  <c r="E61" i="22"/>
  <c r="G61" i="22"/>
  <c r="E54" i="22"/>
  <c r="F54" i="22"/>
  <c r="G54" i="22"/>
  <c r="I340" i="23"/>
  <c r="I324" i="23"/>
  <c r="H340" i="23"/>
  <c r="H324" i="23"/>
  <c r="H49" i="23"/>
  <c r="I15" i="22" s="1"/>
  <c r="H42" i="23"/>
  <c r="H25" i="23"/>
  <c r="I12" i="22" s="1"/>
  <c r="I25" i="23"/>
  <c r="M12" i="22" s="1"/>
  <c r="I16" i="23"/>
  <c r="M11" i="22" s="1"/>
  <c r="H36" i="23"/>
  <c r="I13" i="22" s="1"/>
  <c r="G39" i="22"/>
  <c r="J19" i="22"/>
  <c r="I36" i="23"/>
  <c r="M13" i="22" s="1"/>
  <c r="L11" i="22"/>
  <c r="F18" i="22"/>
  <c r="K18" i="22"/>
  <c r="H93" i="23"/>
  <c r="I93" i="23"/>
  <c r="H138" i="23"/>
  <c r="H73" i="23"/>
  <c r="I19" i="22" s="1"/>
  <c r="W19" i="22" s="1"/>
  <c r="E18" i="22"/>
  <c r="E19" i="22"/>
  <c r="E39" i="22"/>
  <c r="H189" i="23"/>
  <c r="I189" i="23"/>
  <c r="I200" i="23"/>
  <c r="M41" i="22" s="1"/>
  <c r="F39" i="22"/>
  <c r="W83" i="22"/>
  <c r="L33" i="22"/>
  <c r="H158" i="23"/>
  <c r="I33" i="22" s="1"/>
  <c r="W33" i="22" s="1"/>
  <c r="E33" i="22"/>
  <c r="G33" i="22"/>
  <c r="F33" i="22"/>
  <c r="H33" i="22"/>
  <c r="I158" i="23"/>
  <c r="M33" i="22" s="1"/>
  <c r="H166" i="23"/>
  <c r="I34" i="22" s="1"/>
  <c r="H456" i="23"/>
  <c r="I166" i="23"/>
  <c r="M34" i="22" s="1"/>
  <c r="J62" i="22"/>
  <c r="I467" i="23"/>
  <c r="H19" i="22"/>
  <c r="H423" i="23"/>
  <c r="K11" i="22"/>
  <c r="J11" i="22"/>
  <c r="G59" i="22"/>
  <c r="F19" i="22"/>
  <c r="F20" i="22"/>
  <c r="H442" i="23"/>
  <c r="L62" i="22"/>
  <c r="F50" i="22"/>
  <c r="K63" i="22"/>
  <c r="J63" i="22"/>
  <c r="K80" i="22"/>
  <c r="J34" i="22"/>
  <c r="K83" i="22"/>
  <c r="L67" i="22"/>
  <c r="J83" i="22"/>
  <c r="G19" i="22"/>
  <c r="M75" i="22"/>
  <c r="G76" i="22"/>
  <c r="E76" i="22"/>
  <c r="L72" i="22"/>
  <c r="K72" i="22"/>
  <c r="E74" i="22"/>
  <c r="D74" i="22"/>
  <c r="G72" i="22"/>
  <c r="F72" i="22"/>
  <c r="H386" i="23"/>
  <c r="I73" i="22" s="1"/>
  <c r="H72" i="22"/>
  <c r="J72" i="22"/>
  <c r="L10" i="22"/>
  <c r="J68" i="22"/>
  <c r="E68" i="22"/>
  <c r="H419" i="23"/>
  <c r="I475" i="23"/>
  <c r="F59" i="22"/>
  <c r="E59" i="22"/>
  <c r="I286" i="23"/>
  <c r="I316" i="23"/>
  <c r="M60" i="22" s="1"/>
  <c r="G64" i="22"/>
  <c r="G68" i="22"/>
  <c r="L78" i="22"/>
  <c r="H73" i="22"/>
  <c r="U58" i="22"/>
  <c r="I257" i="23"/>
  <c r="M49" i="22" s="1"/>
  <c r="F56" i="22"/>
  <c r="M87" i="22"/>
  <c r="G88" i="22"/>
  <c r="U66" i="22"/>
  <c r="W66" i="22"/>
  <c r="W45" i="22"/>
  <c r="F63" i="22"/>
  <c r="F52" i="22"/>
  <c r="H55" i="22"/>
  <c r="U17" i="22"/>
  <c r="W17" i="22"/>
  <c r="H44" i="22"/>
  <c r="U27" i="22"/>
  <c r="W27" i="22"/>
  <c r="L56" i="22"/>
  <c r="U36" i="22"/>
  <c r="W36" i="22"/>
  <c r="U32" i="22"/>
  <c r="W32" i="22"/>
  <c r="U22" i="22"/>
  <c r="W22" i="22"/>
  <c r="K59" i="22"/>
  <c r="H52" i="22"/>
  <c r="E55" i="22"/>
  <c r="E52" i="22"/>
  <c r="F55" i="22"/>
  <c r="F44" i="22"/>
  <c r="L81" i="22"/>
  <c r="K57" i="22"/>
  <c r="J81" i="22"/>
  <c r="F76" i="22"/>
  <c r="L57" i="22"/>
  <c r="F57" i="22"/>
  <c r="J57" i="22"/>
  <c r="AK153" i="23"/>
  <c r="E31" i="22"/>
  <c r="K51" i="22"/>
  <c r="H374" i="23"/>
  <c r="E38" i="22"/>
  <c r="H63" i="22"/>
  <c r="H20" i="22"/>
  <c r="I69" i="22"/>
  <c r="H486" i="23"/>
  <c r="I90" i="22" s="1"/>
  <c r="L87" i="22"/>
  <c r="F88" i="22"/>
  <c r="H475" i="23"/>
  <c r="H88" i="22"/>
  <c r="H413" i="23"/>
  <c r="I79" i="22" s="1"/>
  <c r="W79" i="22" s="1"/>
  <c r="H405" i="23"/>
  <c r="F73" i="22"/>
  <c r="G73" i="22"/>
  <c r="H67" i="22"/>
  <c r="F68" i="22"/>
  <c r="H68" i="22"/>
  <c r="I330" i="23"/>
  <c r="M63" i="22" s="1"/>
  <c r="H316" i="23"/>
  <c r="I60" i="22" s="1"/>
  <c r="H306" i="23"/>
  <c r="J56" i="22"/>
  <c r="I306" i="23"/>
  <c r="M59" i="22" s="1"/>
  <c r="G63" i="22"/>
  <c r="L50" i="22"/>
  <c r="E63" i="22"/>
  <c r="H292" i="23"/>
  <c r="I56" i="22" s="1"/>
  <c r="I261" i="23"/>
  <c r="I266" i="23"/>
  <c r="L51" i="22"/>
  <c r="H50" i="22"/>
  <c r="E50" i="22"/>
  <c r="G50" i="22"/>
  <c r="H266" i="23"/>
  <c r="G44" i="22"/>
  <c r="E44" i="22"/>
  <c r="F38" i="22"/>
  <c r="G38" i="22"/>
  <c r="H38" i="22"/>
  <c r="L38" i="22"/>
  <c r="K38" i="22"/>
  <c r="J38" i="22"/>
  <c r="AK200" i="23"/>
  <c r="J33" i="22"/>
  <c r="H172" i="23"/>
  <c r="M35" i="22"/>
  <c r="G18" i="22"/>
  <c r="J21" i="22"/>
  <c r="M52" i="22"/>
  <c r="H239" i="23"/>
  <c r="AK239" i="23"/>
  <c r="K87" i="22"/>
  <c r="K35" i="22"/>
  <c r="L35" i="22"/>
  <c r="I74" i="22"/>
  <c r="AK396" i="23"/>
  <c r="L74" i="22"/>
  <c r="J74" i="22"/>
  <c r="K74" i="22"/>
  <c r="I409" i="23"/>
  <c r="H274" i="23"/>
  <c r="I52" i="22" s="1"/>
  <c r="K68" i="22"/>
  <c r="L68" i="22"/>
  <c r="I419" i="23"/>
  <c r="O419" i="23" s="1"/>
  <c r="AK442" i="23"/>
  <c r="AK439" i="23"/>
  <c r="AK423" i="23"/>
  <c r="AK141" i="23"/>
  <c r="AK119" i="23"/>
  <c r="AK113" i="23"/>
  <c r="AK138" i="23"/>
  <c r="AK366" i="23"/>
  <c r="AK148" i="23"/>
  <c r="AK196" i="23"/>
  <c r="AK107" i="23"/>
  <c r="AK428" i="23"/>
  <c r="AK132" i="23"/>
  <c r="AK434" i="23"/>
  <c r="AK56" i="23"/>
  <c r="K86" i="22"/>
  <c r="I486" i="23"/>
  <c r="M90" i="22" s="1"/>
  <c r="H79" i="22"/>
  <c r="G79" i="22"/>
  <c r="F79" i="22"/>
  <c r="E79" i="22"/>
  <c r="J78" i="22"/>
  <c r="I413" i="23"/>
  <c r="G87" i="22"/>
  <c r="L73" i="22"/>
  <c r="K73" i="22"/>
  <c r="J73" i="22"/>
  <c r="J70" i="22"/>
  <c r="L70" i="22"/>
  <c r="K70" i="22"/>
  <c r="H409" i="23"/>
  <c r="H70" i="22"/>
  <c r="H330" i="23"/>
  <c r="I63" i="22" s="1"/>
  <c r="I292" i="23"/>
  <c r="M56" i="22" s="1"/>
  <c r="F67" i="22"/>
  <c r="J64" i="22"/>
  <c r="L52" i="22"/>
  <c r="G51" i="22"/>
  <c r="F51" i="22"/>
  <c r="E51" i="22"/>
  <c r="H51" i="22"/>
  <c r="H62" i="22"/>
  <c r="G56" i="22"/>
  <c r="H286" i="23"/>
  <c r="K55" i="22"/>
  <c r="J52" i="22"/>
  <c r="H200" i="23"/>
  <c r="I41" i="22" s="1"/>
  <c r="F49" i="22"/>
  <c r="J50" i="22"/>
  <c r="H21" i="22"/>
  <c r="K21" i="22"/>
  <c r="L18" i="22"/>
  <c r="K34" i="22"/>
  <c r="H18" i="22"/>
  <c r="K78" i="22"/>
  <c r="J80" i="22"/>
  <c r="H87" i="22"/>
  <c r="E70" i="22"/>
  <c r="G67" i="22"/>
  <c r="K64" i="22"/>
  <c r="H54" i="22"/>
  <c r="E67" i="22"/>
  <c r="L59" i="22"/>
  <c r="H56" i="22"/>
  <c r="J54" i="22"/>
  <c r="L55" i="22"/>
  <c r="J51" i="22"/>
  <c r="L44" i="22"/>
  <c r="K44" i="22"/>
  <c r="J44" i="22"/>
  <c r="K52" i="22"/>
  <c r="E49" i="22"/>
  <c r="J49" i="22"/>
  <c r="K50" i="22"/>
  <c r="F21" i="22"/>
  <c r="E21" i="22"/>
  <c r="H12" i="22"/>
  <c r="L20" i="22"/>
  <c r="J18" i="22"/>
  <c r="L34" i="22"/>
  <c r="H467" i="23"/>
  <c r="G78" i="22"/>
  <c r="F78" i="22"/>
  <c r="E78" i="22"/>
  <c r="H78" i="22"/>
  <c r="K67" i="22"/>
  <c r="F70" i="22"/>
  <c r="J67" i="22"/>
  <c r="K54" i="22"/>
  <c r="H35" i="22"/>
  <c r="E35" i="22"/>
  <c r="G35" i="22"/>
  <c r="F35" i="22"/>
  <c r="K49" i="22"/>
  <c r="G49" i="22"/>
  <c r="G21" i="22"/>
  <c r="L21" i="22"/>
  <c r="J20" i="22"/>
  <c r="L88" i="22"/>
  <c r="K88" i="22"/>
  <c r="J88" i="22"/>
  <c r="J75" i="22"/>
  <c r="L75" i="22"/>
  <c r="K75" i="22"/>
  <c r="G70" i="22"/>
  <c r="G62" i="22"/>
  <c r="L54" i="22"/>
  <c r="H257" i="23"/>
  <c r="L49" i="22"/>
  <c r="U26" i="22"/>
  <c r="V11" i="22"/>
  <c r="V12" i="22"/>
  <c r="R14" i="22"/>
  <c r="U45" i="22"/>
  <c r="R34" i="22"/>
  <c r="V47" i="22"/>
  <c r="R51" i="22"/>
  <c r="R78" i="22"/>
  <c r="V82" i="22"/>
  <c r="R13" i="22"/>
  <c r="U83" i="22"/>
  <c r="V87" i="22"/>
  <c r="R16" i="22"/>
  <c r="V30" i="22"/>
  <c r="R31" i="22"/>
  <c r="W31" i="22" s="1"/>
  <c r="V35" i="22"/>
  <c r="R38" i="22"/>
  <c r="R40" i="22"/>
  <c r="R44" i="22"/>
  <c r="R49" i="22"/>
  <c r="R52" i="22"/>
  <c r="V55" i="22"/>
  <c r="R56" i="22"/>
  <c r="V79" i="22"/>
  <c r="R29" i="22"/>
  <c r="V83" i="22"/>
  <c r="V84" i="22"/>
  <c r="V85" i="22"/>
  <c r="V88" i="22"/>
  <c r="W47" i="22" l="1"/>
  <c r="I46" i="22"/>
  <c r="S41" i="22"/>
  <c r="T41" i="22" s="1"/>
  <c r="M79" i="22"/>
  <c r="U79" i="22" s="1"/>
  <c r="AD3" i="23"/>
  <c r="W41" i="22"/>
  <c r="U41" i="22"/>
  <c r="S40" i="22"/>
  <c r="T40" i="22" s="1"/>
  <c r="I76" i="22"/>
  <c r="U76" i="22" s="1"/>
  <c r="AC3" i="23"/>
  <c r="AK401" i="23"/>
  <c r="D75" i="22"/>
  <c r="W73" i="22"/>
  <c r="S73" i="22"/>
  <c r="T73" i="22" s="1"/>
  <c r="AK419" i="23"/>
  <c r="U29" i="22"/>
  <c r="AK486" i="23"/>
  <c r="AK166" i="23"/>
  <c r="U24" i="22"/>
  <c r="W48" i="22"/>
  <c r="M44" i="22"/>
  <c r="I44" i="22"/>
  <c r="W44" i="22" s="1"/>
  <c r="I70" i="22"/>
  <c r="I67" i="22"/>
  <c r="M70" i="22"/>
  <c r="M67" i="22"/>
  <c r="I72" i="22"/>
  <c r="M72" i="22"/>
  <c r="S84" i="22" s="1"/>
  <c r="T84" i="22" s="1"/>
  <c r="I68" i="22"/>
  <c r="M68" i="22"/>
  <c r="I61" i="22"/>
  <c r="W61" i="22" s="1"/>
  <c r="M61" i="22"/>
  <c r="W65" i="22"/>
  <c r="I64" i="22"/>
  <c r="W64" i="22" s="1"/>
  <c r="M64" i="22"/>
  <c r="U84" i="22"/>
  <c r="W30" i="22"/>
  <c r="M62" i="22"/>
  <c r="I62" i="22"/>
  <c r="W62" i="22" s="1"/>
  <c r="I59" i="22"/>
  <c r="W59" i="22" s="1"/>
  <c r="M57" i="22"/>
  <c r="I57" i="22"/>
  <c r="M55" i="22"/>
  <c r="I55" i="22"/>
  <c r="W55" i="22" s="1"/>
  <c r="M54" i="22"/>
  <c r="I54" i="22"/>
  <c r="AK254" i="23"/>
  <c r="I28" i="22"/>
  <c r="W28" i="22" s="1"/>
  <c r="AK232" i="23"/>
  <c r="M43" i="22"/>
  <c r="I43" i="22"/>
  <c r="AK475" i="23"/>
  <c r="M89" i="22"/>
  <c r="I89" i="22"/>
  <c r="W89" i="22" s="1"/>
  <c r="M88" i="22"/>
  <c r="I87" i="22"/>
  <c r="W87" i="22" s="1"/>
  <c r="I85" i="22"/>
  <c r="U85" i="22" s="1"/>
  <c r="M80" i="22"/>
  <c r="I80" i="22"/>
  <c r="W80" i="22" s="1"/>
  <c r="M51" i="22"/>
  <c r="I51" i="22"/>
  <c r="W51" i="22" s="1"/>
  <c r="M50" i="22"/>
  <c r="I50" i="22"/>
  <c r="W50" i="22" s="1"/>
  <c r="I49" i="22"/>
  <c r="W49" i="22" s="1"/>
  <c r="U40" i="22"/>
  <c r="M39" i="22"/>
  <c r="I39" i="22"/>
  <c r="W39" i="22" s="1"/>
  <c r="I35" i="22"/>
  <c r="W35" i="22" s="1"/>
  <c r="U23" i="22"/>
  <c r="M21" i="22"/>
  <c r="I21" i="22"/>
  <c r="W21" i="22" s="1"/>
  <c r="M20" i="22"/>
  <c r="I20" i="22"/>
  <c r="W20" i="22" s="1"/>
  <c r="M19" i="22"/>
  <c r="M18" i="22"/>
  <c r="I18" i="22"/>
  <c r="AK49" i="23"/>
  <c r="AK36" i="23"/>
  <c r="S13" i="22"/>
  <c r="T13" i="22" s="1"/>
  <c r="AK42" i="23"/>
  <c r="I14" i="22"/>
  <c r="AK189" i="23"/>
  <c r="AK73" i="23"/>
  <c r="U75" i="22"/>
  <c r="D72" i="22"/>
  <c r="D73" i="22"/>
  <c r="E72" i="22"/>
  <c r="U73" i="22"/>
  <c r="U12" i="22"/>
  <c r="AK306" i="23"/>
  <c r="AK286" i="23"/>
  <c r="AK340" i="23"/>
  <c r="U74" i="22"/>
  <c r="U47" i="22"/>
  <c r="W52" i="22"/>
  <c r="W74" i="22"/>
  <c r="W75" i="22"/>
  <c r="W56" i="22"/>
  <c r="W13" i="22"/>
  <c r="W16" i="22"/>
  <c r="S47" i="22"/>
  <c r="T47" i="22" s="1"/>
  <c r="W40" i="22"/>
  <c r="W34" i="22"/>
  <c r="W29" i="22"/>
  <c r="W38" i="22"/>
  <c r="AK274" i="23"/>
  <c r="W11" i="22"/>
  <c r="W12" i="22"/>
  <c r="S15" i="22"/>
  <c r="T15" i="22" s="1"/>
  <c r="W15" i="22"/>
  <c r="U63" i="22"/>
  <c r="W63" i="22"/>
  <c r="S63" i="22"/>
  <c r="T63" i="22" s="1"/>
  <c r="U33" i="22"/>
  <c r="J10" i="22"/>
  <c r="K10" i="22"/>
  <c r="G57" i="22"/>
  <c r="M78" i="22"/>
  <c r="AK292" i="23"/>
  <c r="E56" i="22"/>
  <c r="AK456" i="23"/>
  <c r="E87" i="22"/>
  <c r="H57" i="22"/>
  <c r="I78" i="22"/>
  <c r="W78" i="22" s="1"/>
  <c r="AK405" i="23"/>
  <c r="H76" i="22"/>
  <c r="E57" i="22"/>
  <c r="G86" i="22"/>
  <c r="I88" i="22"/>
  <c r="I81" i="22"/>
  <c r="W82" i="22"/>
  <c r="AK330" i="23"/>
  <c r="K39" i="22"/>
  <c r="L39" i="22"/>
  <c r="AK83" i="23"/>
  <c r="G20" i="22"/>
  <c r="J39" i="22"/>
  <c r="S33" i="22"/>
  <c r="T33" i="22" s="1"/>
  <c r="AK467" i="23"/>
  <c r="AK386" i="23"/>
  <c r="AK356" i="23"/>
  <c r="AK352" i="23"/>
  <c r="AK261" i="23"/>
  <c r="AK316" i="23"/>
  <c r="AK299" i="23"/>
  <c r="AK220" i="23"/>
  <c r="AK172" i="23"/>
  <c r="AK16" i="23"/>
  <c r="AK278" i="23"/>
  <c r="AK349" i="23"/>
  <c r="AK320" i="23"/>
  <c r="AK184" i="23"/>
  <c r="AK381" i="23"/>
  <c r="AK25" i="23"/>
  <c r="AK93" i="23"/>
  <c r="AK243" i="23"/>
  <c r="AK158" i="23"/>
  <c r="AK409" i="23"/>
  <c r="AK64" i="23"/>
  <c r="AK257" i="23"/>
  <c r="AK324" i="23"/>
  <c r="AK374" i="23"/>
  <c r="AK209" i="23"/>
  <c r="AK266" i="23"/>
  <c r="AK413" i="23"/>
  <c r="S29" i="22"/>
  <c r="T29" i="22" s="1"/>
  <c r="U11" i="22"/>
  <c r="U13" i="22"/>
  <c r="U38" i="22"/>
  <c r="S38" i="22"/>
  <c r="T38" i="22" s="1"/>
  <c r="S56" i="22"/>
  <c r="T56" i="22" s="1"/>
  <c r="U56" i="22"/>
  <c r="S52" i="22"/>
  <c r="T52" i="22" s="1"/>
  <c r="U52" i="22"/>
  <c r="U15" i="22"/>
  <c r="U34" i="22"/>
  <c r="U16" i="22"/>
  <c r="S31" i="22"/>
  <c r="T31" i="22" s="1"/>
  <c r="U31" i="22"/>
  <c r="S46" i="22" l="1"/>
  <c r="T46" i="22" s="1"/>
  <c r="U46" i="22"/>
  <c r="W46" i="22"/>
  <c r="W76" i="22"/>
  <c r="S12" i="22"/>
  <c r="T12" i="22" s="1"/>
  <c r="S11" i="22"/>
  <c r="T11" i="22" s="1"/>
  <c r="S16" i="22"/>
  <c r="T16" i="22" s="1"/>
  <c r="S19" i="22"/>
  <c r="T19" i="22" s="1"/>
  <c r="S24" i="22"/>
  <c r="T24" i="22" s="1"/>
  <c r="S90" i="22"/>
  <c r="T90" i="22" s="1"/>
  <c r="S83" i="22"/>
  <c r="T83" i="22" s="1"/>
  <c r="S45" i="22"/>
  <c r="T45" i="22" s="1"/>
  <c r="S36" i="22"/>
  <c r="T36" i="22" s="1"/>
  <c r="S26" i="22"/>
  <c r="T26" i="22" s="1"/>
  <c r="S76" i="22"/>
  <c r="T76" i="22" s="1"/>
  <c r="S75" i="22"/>
  <c r="T75" i="22" s="1"/>
  <c r="S34" i="22"/>
  <c r="T34" i="22" s="1"/>
  <c r="S79" i="22"/>
  <c r="T79" i="22" s="1"/>
  <c r="S14" i="22"/>
  <c r="T14" i="22" s="1"/>
  <c r="S23" i="22"/>
  <c r="T23" i="22" s="1"/>
  <c r="S30" i="22"/>
  <c r="T30" i="22" s="1"/>
  <c r="S74" i="22"/>
  <c r="T74" i="22" s="1"/>
  <c r="W72" i="22"/>
  <c r="S72" i="22"/>
  <c r="T72" i="22" s="1"/>
  <c r="U44" i="22"/>
  <c r="S48" i="22"/>
  <c r="T48" i="22" s="1"/>
  <c r="U48" i="22"/>
  <c r="S44" i="22"/>
  <c r="T44" i="22" s="1"/>
  <c r="G43" i="22"/>
  <c r="H43" i="22"/>
  <c r="F43" i="22"/>
  <c r="S59" i="22"/>
  <c r="T59" i="22" s="1"/>
  <c r="U59" i="22"/>
  <c r="U72" i="22"/>
  <c r="U65" i="22"/>
  <c r="U64" i="22"/>
  <c r="S64" i="22"/>
  <c r="T64" i="22" s="1"/>
  <c r="S62" i="22"/>
  <c r="T62" i="22" s="1"/>
  <c r="U62" i="22"/>
  <c r="S61" i="22"/>
  <c r="T61" i="22" s="1"/>
  <c r="U61" i="22"/>
  <c r="U57" i="22"/>
  <c r="S57" i="22"/>
  <c r="T57" i="22" s="1"/>
  <c r="W57" i="22"/>
  <c r="S55" i="22"/>
  <c r="T55" i="22" s="1"/>
  <c r="U55" i="22"/>
  <c r="S89" i="22"/>
  <c r="T89" i="22" s="1"/>
  <c r="U28" i="22"/>
  <c r="S28" i="22"/>
  <c r="T28" i="22" s="1"/>
  <c r="S20" i="22"/>
  <c r="T20" i="22" s="1"/>
  <c r="S39" i="22"/>
  <c r="T39" i="22" s="1"/>
  <c r="S87" i="22"/>
  <c r="T87" i="22" s="1"/>
  <c r="U51" i="22"/>
  <c r="W85" i="22"/>
  <c r="S85" i="22"/>
  <c r="T85" i="22" s="1"/>
  <c r="S35" i="22"/>
  <c r="T35" i="22" s="1"/>
  <c r="U35" i="22"/>
  <c r="S80" i="22"/>
  <c r="T80" i="22" s="1"/>
  <c r="U80" i="22"/>
  <c r="S49" i="22"/>
  <c r="T49" i="22" s="1"/>
  <c r="U49" i="22"/>
  <c r="S51" i="22"/>
  <c r="T51" i="22" s="1"/>
  <c r="U50" i="22"/>
  <c r="S50" i="22"/>
  <c r="T50" i="22" s="1"/>
  <c r="U39" i="22"/>
  <c r="U21" i="22"/>
  <c r="U20" i="22"/>
  <c r="S21" i="22"/>
  <c r="T21" i="22" s="1"/>
  <c r="U19" i="22"/>
  <c r="F10" i="22"/>
  <c r="U14" i="22"/>
  <c r="W14" i="22"/>
  <c r="G10" i="22"/>
  <c r="H10" i="22"/>
  <c r="W60" i="22"/>
  <c r="S60" i="22"/>
  <c r="T60" i="22" s="1"/>
  <c r="U60" i="22"/>
  <c r="U78" i="22"/>
  <c r="S88" i="22"/>
  <c r="T88" i="22" s="1"/>
  <c r="W88" i="22"/>
  <c r="S78" i="22"/>
  <c r="T78" i="22" s="1"/>
  <c r="S82" i="22"/>
  <c r="T82" i="22" s="1"/>
  <c r="U82" i="22"/>
  <c r="E86" i="22"/>
  <c r="H86" i="22"/>
  <c r="F86" i="22"/>
  <c r="AK447" i="23"/>
  <c r="H9" i="22" l="1"/>
  <c r="F9" i="22"/>
  <c r="G9" i="22"/>
  <c r="K43" i="22"/>
  <c r="K9" i="22" s="1"/>
  <c r="L43" i="22"/>
  <c r="L9" i="22" s="1"/>
  <c r="AK211" i="23"/>
  <c r="E43" i="22"/>
  <c r="J43" i="22"/>
  <c r="J9" i="22" s="1"/>
  <c r="E10" i="22"/>
  <c r="E9" i="22" l="1"/>
  <c r="V71" i="22"/>
  <c r="R69" i="22"/>
  <c r="S69" i="22" s="1"/>
  <c r="V70" i="22"/>
  <c r="V68" i="22" l="1"/>
  <c r="R71" i="22"/>
  <c r="W71" i="22" s="1"/>
  <c r="R70" i="22"/>
  <c r="U70" i="22" s="1"/>
  <c r="T69" i="22"/>
  <c r="U69" i="22"/>
  <c r="W69" i="22"/>
  <c r="V69" i="22"/>
  <c r="R68" i="22"/>
  <c r="R67" i="22" l="1"/>
  <c r="U67" i="22" s="1"/>
  <c r="U71" i="22"/>
  <c r="V67" i="22"/>
  <c r="S70" i="22"/>
  <c r="T70" i="22" s="1"/>
  <c r="W70" i="22"/>
  <c r="S68" i="22"/>
  <c r="T68" i="22" s="1"/>
  <c r="W68" i="22"/>
  <c r="U68" i="22"/>
  <c r="S67" i="22" l="1"/>
  <c r="T67" i="22" s="1"/>
  <c r="W67" i="22"/>
  <c r="V25" i="22" l="1"/>
  <c r="R25" i="22"/>
  <c r="R54" i="22"/>
  <c r="S54" i="22" l="1"/>
  <c r="T54" i="22" s="1"/>
  <c r="U54" i="22"/>
  <c r="W54" i="22"/>
  <c r="V54" i="22"/>
  <c r="S25" i="22"/>
  <c r="T25" i="22" s="1"/>
  <c r="W25" i="22"/>
  <c r="U25" i="22"/>
  <c r="V18" i="22" l="1"/>
  <c r="R18" i="22"/>
  <c r="S18" i="22" s="1"/>
  <c r="T18" i="22" s="1"/>
  <c r="U18" i="22" l="1"/>
  <c r="W18" i="22"/>
  <c r="R10" i="22" l="1"/>
  <c r="U10" i="22" l="1"/>
  <c r="S10" i="22"/>
  <c r="T10" i="22" s="1"/>
  <c r="V10" i="22"/>
  <c r="W10" i="22"/>
  <c r="R91" i="22" l="1"/>
  <c r="V91" i="22" l="1"/>
  <c r="S91" i="22"/>
  <c r="T91" i="22" s="1"/>
  <c r="W91" i="22"/>
  <c r="V81" i="22" l="1"/>
  <c r="W81" i="22" l="1"/>
  <c r="U81" i="22"/>
  <c r="S81" i="22"/>
  <c r="T81" i="22" s="1"/>
  <c r="V86" i="22" l="1"/>
  <c r="R86" i="22"/>
  <c r="U86" i="22" l="1"/>
  <c r="W86" i="22"/>
  <c r="S86" i="22"/>
  <c r="T86" i="22" s="1"/>
  <c r="R9" i="22" l="1"/>
  <c r="S9" i="22" s="1"/>
  <c r="T9" i="22" s="1"/>
  <c r="V9" i="22"/>
  <c r="V43" i="22"/>
  <c r="R43" i="22"/>
  <c r="S43" i="22" l="1"/>
  <c r="T43" i="22" s="1"/>
  <c r="W43" i="22"/>
  <c r="U43" i="22"/>
  <c r="D10" i="22"/>
  <c r="D9" i="22" s="1"/>
  <c r="AK6" i="23"/>
  <c r="C10" i="22"/>
  <c r="C9" i="22" s="1"/>
  <c r="AK1" i="23" l="1"/>
</calcChain>
</file>

<file path=xl/sharedStrings.xml><?xml version="1.0" encoding="utf-8"?>
<sst xmlns="http://schemas.openxmlformats.org/spreadsheetml/2006/main" count="4988" uniqueCount="2097">
  <si>
    <t xml:space="preserve"> № п/п</t>
  </si>
  <si>
    <t>Государственная программа, подпрограмма, основное мероприятие, мероприятие</t>
  </si>
  <si>
    <t>Соисполнители, участники, исполнители</t>
  </si>
  <si>
    <t>Всего</t>
  </si>
  <si>
    <t>ОБ</t>
  </si>
  <si>
    <t>ФБ</t>
  </si>
  <si>
    <t>МБ</t>
  </si>
  <si>
    <t>ВБС</t>
  </si>
  <si>
    <t>1.</t>
  </si>
  <si>
    <t>2.</t>
  </si>
  <si>
    <t>Подпрограмма 2. Поддержка малого и среднего предпринимательства</t>
  </si>
  <si>
    <t>2.1.</t>
  </si>
  <si>
    <t>2.2.</t>
  </si>
  <si>
    <t>3.1.</t>
  </si>
  <si>
    <t>3.3.</t>
  </si>
  <si>
    <t>4.</t>
  </si>
  <si>
    <t>4.1.</t>
  </si>
  <si>
    <t>4.3.</t>
  </si>
  <si>
    <t>4.4.</t>
  </si>
  <si>
    <t>5.</t>
  </si>
  <si>
    <t>5.1.</t>
  </si>
  <si>
    <t>5.2.</t>
  </si>
  <si>
    <t>5.3.</t>
  </si>
  <si>
    <t>5.4.</t>
  </si>
  <si>
    <t>6.1.</t>
  </si>
  <si>
    <t>6.2.</t>
  </si>
  <si>
    <t>6.3.</t>
  </si>
  <si>
    <t>7.</t>
  </si>
  <si>
    <t>7.1.</t>
  </si>
  <si>
    <t>7.2.</t>
  </si>
  <si>
    <t>2.3.</t>
  </si>
  <si>
    <t>2.4.</t>
  </si>
  <si>
    <t>Источник</t>
  </si>
  <si>
    <t>Причины низкой степени освоения средств, невыполнения мероприятий</t>
  </si>
  <si>
    <t>№ п/п</t>
  </si>
  <si>
    <t>Фактическое исполнение</t>
  </si>
  <si>
    <t>Степень освоения средств</t>
  </si>
  <si>
    <t>Приложение № 2</t>
  </si>
  <si>
    <t>4.2.</t>
  </si>
  <si>
    <t>Да</t>
  </si>
  <si>
    <t>Нет</t>
  </si>
  <si>
    <t>-</t>
  </si>
  <si>
    <t>1.7.</t>
  </si>
  <si>
    <t>3.</t>
  </si>
  <si>
    <t>3.2.</t>
  </si>
  <si>
    <t>6.</t>
  </si>
  <si>
    <t>1.1</t>
  </si>
  <si>
    <t>1.2</t>
  </si>
  <si>
    <t>1.3</t>
  </si>
  <si>
    <t>1.4</t>
  </si>
  <si>
    <t>1.5</t>
  </si>
  <si>
    <t>1.6</t>
  </si>
  <si>
    <t>Частично</t>
  </si>
  <si>
    <t>Минздрав МО</t>
  </si>
  <si>
    <t>Подпрограмма 1. "Профилактика заболеваний и формирование здорового образа жизни. Развитие первичной медико-санитарной помощи"</t>
  </si>
  <si>
    <t>1.1.1</t>
  </si>
  <si>
    <t>1.1.3</t>
  </si>
  <si>
    <t>1.1.4</t>
  </si>
  <si>
    <t>1.1.5</t>
  </si>
  <si>
    <t>1.1.6</t>
  </si>
  <si>
    <t>1.1.7</t>
  </si>
  <si>
    <t>1.1.8</t>
  </si>
  <si>
    <t>Количество обслуженных рецептов к количеству выписанных рецептов</t>
  </si>
  <si>
    <t>Минобр МО</t>
  </si>
  <si>
    <t>1.2.1</t>
  </si>
  <si>
    <t>1.2.2</t>
  </si>
  <si>
    <t>1.2.3</t>
  </si>
  <si>
    <t>1.2.4</t>
  </si>
  <si>
    <t>Количество донаций крови и ее компонентов на 1 донора Мурманской области</t>
  </si>
  <si>
    <t>Удовлетворенность потребности в судебно-медицинских и судебно-психиатрических исследованиях</t>
  </si>
  <si>
    <t>Подпрограмма 3. "Охрана здоровья матери и ребенка"</t>
  </si>
  <si>
    <t>1.3.1</t>
  </si>
  <si>
    <t>1.3.2</t>
  </si>
  <si>
    <t>1.3.3</t>
  </si>
  <si>
    <t>1.3.4</t>
  </si>
  <si>
    <t>1.3.5</t>
  </si>
  <si>
    <t>Подпрограмма 4. "Развитие инфраструктуры системы здравоохранения"</t>
  </si>
  <si>
    <t>1.4.1</t>
  </si>
  <si>
    <t>1.4.2</t>
  </si>
  <si>
    <t>1.4.3</t>
  </si>
  <si>
    <t>Минстрой МО</t>
  </si>
  <si>
    <t>1.4.4</t>
  </si>
  <si>
    <t>1.4.5</t>
  </si>
  <si>
    <t>Подпрограмма 5. "Кадровое обеспечение системы здравоохранения"</t>
  </si>
  <si>
    <t>1.5.1</t>
  </si>
  <si>
    <t>1.5.2</t>
  </si>
  <si>
    <t>Подпрограмма 6. "Развитие информатизации в здравоохранении"</t>
  </si>
  <si>
    <t>1.6.1</t>
  </si>
  <si>
    <t>2.1</t>
  </si>
  <si>
    <t>2.1.1</t>
  </si>
  <si>
    <t>2.1.2</t>
  </si>
  <si>
    <t>2.1.3</t>
  </si>
  <si>
    <t>2.1.4</t>
  </si>
  <si>
    <t>2.1.6</t>
  </si>
  <si>
    <t>2.1.8</t>
  </si>
  <si>
    <t>2.1.9</t>
  </si>
  <si>
    <t>2.2</t>
  </si>
  <si>
    <t>2.2.1</t>
  </si>
  <si>
    <t>2.2.3</t>
  </si>
  <si>
    <t>2.2.5</t>
  </si>
  <si>
    <t>2.2.6</t>
  </si>
  <si>
    <t>2.3</t>
  </si>
  <si>
    <t>2.3.1</t>
  </si>
  <si>
    <t>2.3.2</t>
  </si>
  <si>
    <t>3.1</t>
  </si>
  <si>
    <t>3.1.1</t>
  </si>
  <si>
    <t>3.1.2</t>
  </si>
  <si>
    <t>3.1.3</t>
  </si>
  <si>
    <t>3.1.4</t>
  </si>
  <si>
    <t>3.2</t>
  </si>
  <si>
    <t>3.2.1</t>
  </si>
  <si>
    <t>3.2.2</t>
  </si>
  <si>
    <t>3.2.3</t>
  </si>
  <si>
    <t>3.2.4</t>
  </si>
  <si>
    <t>3.2.5</t>
  </si>
  <si>
    <t>3.2.6</t>
  </si>
  <si>
    <t>3.2.7</t>
  </si>
  <si>
    <t>3.2.8</t>
  </si>
  <si>
    <t>3.3</t>
  </si>
  <si>
    <t>3.3.1</t>
  </si>
  <si>
    <t>3.3.3</t>
  </si>
  <si>
    <t>4.1</t>
  </si>
  <si>
    <t>4.1.1</t>
  </si>
  <si>
    <t>4.1.2</t>
  </si>
  <si>
    <t>4.1.3</t>
  </si>
  <si>
    <t>4.2</t>
  </si>
  <si>
    <t>4.2.1</t>
  </si>
  <si>
    <t>4.2.2</t>
  </si>
  <si>
    <t>4.3</t>
  </si>
  <si>
    <t>4.3.1</t>
  </si>
  <si>
    <t>4.3.2</t>
  </si>
  <si>
    <t>4.3.3</t>
  </si>
  <si>
    <t>5.1</t>
  </si>
  <si>
    <t>5.1.1</t>
  </si>
  <si>
    <t>5.1.2</t>
  </si>
  <si>
    <t>5.2</t>
  </si>
  <si>
    <t>5.2.1</t>
  </si>
  <si>
    <t>6.1</t>
  </si>
  <si>
    <t>6.2</t>
  </si>
  <si>
    <t>6.4</t>
  </si>
  <si>
    <t>6.4.1</t>
  </si>
  <si>
    <t>7.1</t>
  </si>
  <si>
    <t>7.2</t>
  </si>
  <si>
    <t>Минфин МО</t>
  </si>
  <si>
    <t>7.4</t>
  </si>
  <si>
    <t>7.5</t>
  </si>
  <si>
    <t>8</t>
  </si>
  <si>
    <t>8.1</t>
  </si>
  <si>
    <t>9</t>
  </si>
  <si>
    <t>Минприроды МО</t>
  </si>
  <si>
    <t>10.1</t>
  </si>
  <si>
    <t>10.2</t>
  </si>
  <si>
    <t>10.3</t>
  </si>
  <si>
    <t>10.5</t>
  </si>
  <si>
    <t>Подпрограмма 5. "Обращение с отходами"</t>
  </si>
  <si>
    <t>Подпрограмма 6. "Охрана и рациональное использование животного мира и развитие охотничьего хозяйства"</t>
  </si>
  <si>
    <t>11</t>
  </si>
  <si>
    <t>Комитет по ветеринарии МО</t>
  </si>
  <si>
    <t>11.1</t>
  </si>
  <si>
    <t>11.2</t>
  </si>
  <si>
    <t>11.3</t>
  </si>
  <si>
    <t>11.4</t>
  </si>
  <si>
    <t>12</t>
  </si>
  <si>
    <t>12.1</t>
  </si>
  <si>
    <t>12.2</t>
  </si>
  <si>
    <t>12.3</t>
  </si>
  <si>
    <t>13</t>
  </si>
  <si>
    <t>13.1</t>
  </si>
  <si>
    <t>13.2</t>
  </si>
  <si>
    <t>14</t>
  </si>
  <si>
    <t>14.1</t>
  </si>
  <si>
    <t>14.2</t>
  </si>
  <si>
    <t>15</t>
  </si>
  <si>
    <t>Комитет госфинконтроля МО</t>
  </si>
  <si>
    <t>15.1</t>
  </si>
  <si>
    <t>15.2</t>
  </si>
  <si>
    <t>15.3</t>
  </si>
  <si>
    <t>15.4</t>
  </si>
  <si>
    <t>Минюст МО</t>
  </si>
  <si>
    <t>х</t>
  </si>
  <si>
    <t>Государственная программа Мурманской области  "Государственное управление и гражданское общество"</t>
  </si>
  <si>
    <t xml:space="preserve">ОБ </t>
  </si>
  <si>
    <t>Аппарат Правительства Мурманской области</t>
  </si>
  <si>
    <t>3.5.</t>
  </si>
  <si>
    <t>Минкульт МО</t>
  </si>
  <si>
    <t>Минспорт МО</t>
  </si>
  <si>
    <t>2.4</t>
  </si>
  <si>
    <t>Выполнение  мероприятий</t>
  </si>
  <si>
    <t>Степень выполнения (К3)</t>
  </si>
  <si>
    <t>Всего по государственным программам</t>
  </si>
  <si>
    <t>Подпрограмма 1. Развитие профессионального образования</t>
  </si>
  <si>
    <t>Подпрограмма 4. Обеспечение реализации государственной программы</t>
  </si>
  <si>
    <t>Подпрограмма 2. Улучшение положения и качества жизни социально уязвимых слоев населения</t>
  </si>
  <si>
    <t>Подпрограмма 1. Наследие</t>
  </si>
  <si>
    <t>7.3.</t>
  </si>
  <si>
    <t>7.4.</t>
  </si>
  <si>
    <t>7.5.</t>
  </si>
  <si>
    <t>8.</t>
  </si>
  <si>
    <t>8.1.</t>
  </si>
  <si>
    <t>9.</t>
  </si>
  <si>
    <t>9.1.</t>
  </si>
  <si>
    <t>9.2.</t>
  </si>
  <si>
    <t>9.3.</t>
  </si>
  <si>
    <t>9.4.</t>
  </si>
  <si>
    <t>10.1.</t>
  </si>
  <si>
    <t>Подпрограмма 1. Обеспечение экологической безопасности</t>
  </si>
  <si>
    <t>10.2.</t>
  </si>
  <si>
    <t>Подпрограмма 2. Охрана, защита и воспроизводство  лесов</t>
  </si>
  <si>
    <t>10.3.</t>
  </si>
  <si>
    <t>Подпрограмма 3. Охрана и рациональное использование природных ресурсов</t>
  </si>
  <si>
    <t>10.4.</t>
  </si>
  <si>
    <t>Подпрограмма 4.  Обеспечение реализации государственной программы</t>
  </si>
  <si>
    <t>10.5.</t>
  </si>
  <si>
    <t>Подпрограмма 5. Обращение с отходами</t>
  </si>
  <si>
    <t>Подпрограмма 6. Охрана и рациональное использование животного мира и развитие охотничьего хозяйства</t>
  </si>
  <si>
    <t>11.1.</t>
  </si>
  <si>
    <t>11.2.</t>
  </si>
  <si>
    <t>11.3.</t>
  </si>
  <si>
    <t>11.4.</t>
  </si>
  <si>
    <t>12.</t>
  </si>
  <si>
    <t>12.1.</t>
  </si>
  <si>
    <t>12.2.</t>
  </si>
  <si>
    <t>12.3.</t>
  </si>
  <si>
    <t>Подпрограмма 3. Безопасность дорожного движения и снижение дорожно-транспортного травматизма в Мурманской области</t>
  </si>
  <si>
    <t>12.4.</t>
  </si>
  <si>
    <t>13.</t>
  </si>
  <si>
    <t>13.1.</t>
  </si>
  <si>
    <t>13.2.</t>
  </si>
  <si>
    <t>14.</t>
  </si>
  <si>
    <t>14.1.</t>
  </si>
  <si>
    <t>14.2.</t>
  </si>
  <si>
    <t>15.</t>
  </si>
  <si>
    <t>15.1.</t>
  </si>
  <si>
    <t>15.2.</t>
  </si>
  <si>
    <t>15.3.</t>
  </si>
  <si>
    <t>15.4.</t>
  </si>
  <si>
    <t>2.3.3</t>
  </si>
  <si>
    <t>3.2.10</t>
  </si>
  <si>
    <t>3.5</t>
  </si>
  <si>
    <t>Минстрой МО, ГОКУ "УКС"</t>
  </si>
  <si>
    <t>Министерство цифрового развития Мурманской области</t>
  </si>
  <si>
    <t>Министерство труда и соцразвития МО</t>
  </si>
  <si>
    <t>Государственная программа, подпрограмма, ответственный исполнитель</t>
  </si>
  <si>
    <t>Показатели ГП</t>
  </si>
  <si>
    <t>Выполнение мероприятий</t>
  </si>
  <si>
    <t>ЭГП (интегр. показатель эф-ти)</t>
  </si>
  <si>
    <t>Оценка*</t>
  </si>
  <si>
    <t>Факт отсут.</t>
  </si>
  <si>
    <t>Степень достижения плановых значений показателей</t>
  </si>
  <si>
    <t>Перевып. (&gt;150%)</t>
  </si>
  <si>
    <t>Высокая (99,5-150%)</t>
  </si>
  <si>
    <t>Средняя (85-99,5%)</t>
  </si>
  <si>
    <t>Низкая (&lt;85%)</t>
  </si>
  <si>
    <t>К1</t>
  </si>
  <si>
    <t>Положит. (≥101%)</t>
  </si>
  <si>
    <t>На уровне (99-101%)</t>
  </si>
  <si>
    <t>Отриц. (&lt;99%)</t>
  </si>
  <si>
    <t>К2</t>
  </si>
  <si>
    <t xml:space="preserve">Да </t>
  </si>
  <si>
    <t xml:space="preserve">К3 </t>
  </si>
  <si>
    <t>1.7</t>
  </si>
  <si>
    <t>3</t>
  </si>
  <si>
    <t>4</t>
  </si>
  <si>
    <t>4.4</t>
  </si>
  <si>
    <t>5</t>
  </si>
  <si>
    <t>5.3</t>
  </si>
  <si>
    <t>6</t>
  </si>
  <si>
    <t>6.3</t>
  </si>
  <si>
    <t>7</t>
  </si>
  <si>
    <t>7.3</t>
  </si>
  <si>
    <t>10</t>
  </si>
  <si>
    <t>10.4</t>
  </si>
  <si>
    <t>12.4</t>
  </si>
  <si>
    <t>*Высокая (не менее 97%), средняя (не менее 92%), ниже среднего (не менее 85%), низкая (менее 85%).</t>
  </si>
  <si>
    <t>Приложение №1</t>
  </si>
  <si>
    <t>№
п/п</t>
  </si>
  <si>
    <t>Государственная программа, подпрограмма, показатель</t>
  </si>
  <si>
    <t>Ед. изм.</t>
  </si>
  <si>
    <t>Направ
ленность</t>
  </si>
  <si>
    <t>К1 (степень достижения)*</t>
  </si>
  <si>
    <t>К2 (динамика)**</t>
  </si>
  <si>
    <t>Причины отклонения от плана, отсутствия положительной динамики</t>
  </si>
  <si>
    <t>Предлагаемые меры по улучшению значений показателя</t>
  </si>
  <si>
    <t>Ответственный ИОГВ</t>
  </si>
  <si>
    <t>Направ-
ленность</t>
  </si>
  <si>
    <t xml:space="preserve">К1 </t>
  </si>
  <si>
    <t xml:space="preserve">К2 </t>
  </si>
  <si>
    <t>всего</t>
  </si>
  <si>
    <t>Данные о фактических значениях отсутствуют</t>
  </si>
  <si>
    <t>Значительно перевыполнены (более 150%)</t>
  </si>
  <si>
    <t>Высокая степень (от 99,5 до 150%)</t>
  </si>
  <si>
    <t>Средняя степень (от 85 до 99,5%)</t>
  </si>
  <si>
    <t>Низкая степень (ниже 85%)</t>
  </si>
  <si>
    <t>Положительная динамика (К2≥101%)</t>
  </si>
  <si>
    <t>Отрицательная динамика (К2 &lt; 99%)</t>
  </si>
  <si>
    <t>Факт</t>
  </si>
  <si>
    <t>План</t>
  </si>
  <si>
    <t>Причины отклонения от плана</t>
  </si>
  <si>
    <t>Ответственный ГРБС</t>
  </si>
  <si>
    <t>1.0.1</t>
  </si>
  <si>
    <t>Смертность от всех причин</t>
  </si>
  <si>
    <t>на 1000 населения</t>
  </si>
  <si>
    <t>è</t>
  </si>
  <si>
    <t>1.0.2</t>
  </si>
  <si>
    <t>1.0.3</t>
  </si>
  <si>
    <t>Младенческая смертность</t>
  </si>
  <si>
    <t>1.0.4</t>
  </si>
  <si>
    <t>Смертность от болезней системы кровообращения</t>
  </si>
  <si>
    <t>на 100 тыс. населения</t>
  </si>
  <si>
    <t>1.0.5</t>
  </si>
  <si>
    <t>Смертность от новообразований (в том числе от злокачественных)</t>
  </si>
  <si>
    <t>1.0.6</t>
  </si>
  <si>
    <t>Смертность от туберкулеза</t>
  </si>
  <si>
    <t>1.0.7</t>
  </si>
  <si>
    <t>1.0.8</t>
  </si>
  <si>
    <t>Смертность населения в трудоспособном возрасте</t>
  </si>
  <si>
    <t>1.0.9</t>
  </si>
  <si>
    <t>Ожидаемая продолжительность жизни при рождении</t>
  </si>
  <si>
    <t>лет</t>
  </si>
  <si>
    <t>æ</t>
  </si>
  <si>
    <t>на 10 тыс. населения</t>
  </si>
  <si>
    <t>%</t>
  </si>
  <si>
    <t>Розничные продажи алкогольной продукции на душу населения (в литрах)</t>
  </si>
  <si>
    <t>литров на душу населения в год</t>
  </si>
  <si>
    <t>Охват населения профосмотрами на туберкулез</t>
  </si>
  <si>
    <t>Охват населения иммунизацией против кори в декретированные сроки</t>
  </si>
  <si>
    <t>1.1.9</t>
  </si>
  <si>
    <t>чел.</t>
  </si>
  <si>
    <t>Одногодичная летальность больных со злокачественными новообразованиями</t>
  </si>
  <si>
    <t>Удельный вес больных злокачественными новообразованиями, состоящих на учете с момента установления диагноза 5 лет и более</t>
  </si>
  <si>
    <t>1.2.5</t>
  </si>
  <si>
    <t>1.2.6</t>
  </si>
  <si>
    <t>1.2.7</t>
  </si>
  <si>
    <t>1.2.8</t>
  </si>
  <si>
    <t>Доля ВИЧ-инфицированных лиц, получающих антиретровирусную терапию, от числа состоящих на диспансерном учете</t>
  </si>
  <si>
    <t>1.2.9</t>
  </si>
  <si>
    <t>1.2.10</t>
  </si>
  <si>
    <t>Доля выездов бригад скорой медицинской помощи со временем доезда до больного менее 20 минут</t>
  </si>
  <si>
    <t>крово-плазмодачи</t>
  </si>
  <si>
    <t>=</t>
  </si>
  <si>
    <t>Доля злокачественных новообразований, выявленных на ранних стадиях</t>
  </si>
  <si>
    <t>Больничная летальность от острого нарушения мозгового кровообращения</t>
  </si>
  <si>
    <t>Количество рентгенэндоваскулярных вмешательств в лечебных целях</t>
  </si>
  <si>
    <t>ед.</t>
  </si>
  <si>
    <t>Доля посещений детьми медицинских организаций с профилактическими целями</t>
  </si>
  <si>
    <t>Смертность детей в возрасте 0 - 17 лет</t>
  </si>
  <si>
    <t>на 100000 детей соответствующего возраста</t>
  </si>
  <si>
    <t>Количество объектов, отремонтированных в рамках программы</t>
  </si>
  <si>
    <t>1.5.3</t>
  </si>
  <si>
    <t>1.5.4</t>
  </si>
  <si>
    <t>1.5.5</t>
  </si>
  <si>
    <t>1.5.6</t>
  </si>
  <si>
    <t>1.6.2</t>
  </si>
  <si>
    <t>1.6.3</t>
  </si>
  <si>
    <t>1.6.4</t>
  </si>
  <si>
    <t>Количество пролеченных иностранных граждан</t>
  </si>
  <si>
    <t>тыс. чел.</t>
  </si>
  <si>
    <t>2.0.1</t>
  </si>
  <si>
    <t>2.0.2</t>
  </si>
  <si>
    <t>2.0.4</t>
  </si>
  <si>
    <t>Подпрограмма 1. "Развитие профессионального образования"</t>
  </si>
  <si>
    <t>Доля инвалидов, принятых на обучение по программам среднего профессионального образования (по отношению к предыдущему году)</t>
  </si>
  <si>
    <t>Доля студентов из числа инвалидов, обучавшихся по программам среднего профессионального образования, выбывших по причине академической неуспеваемости</t>
  </si>
  <si>
    <t>2.2.4</t>
  </si>
  <si>
    <t>2.2.8</t>
  </si>
  <si>
    <t>единиц</t>
  </si>
  <si>
    <t>Доля государственных (муниципальных) образовательных учреждений, реализующих программы общего образования, здания которых находятся в аварийном состоянии или требуют капитального ремонта, в общей численности государственных (муниципальных) образовательных учреждений, реализующих программы общего образования</t>
  </si>
  <si>
    <t>2.3.4</t>
  </si>
  <si>
    <t>Доля государственных (муниципальных) общеобразовательных учреждений, соответствующих современным требованиям обучения, в общем количестве государственных (муниципальных) общеобразовательных учреждений</t>
  </si>
  <si>
    <t>3.0.1</t>
  </si>
  <si>
    <t>Доля населения, имеющего денежные доходы ниже величины прожиточного минимума, в общей численности населения Мурманской области</t>
  </si>
  <si>
    <t>3.0.2</t>
  </si>
  <si>
    <t>Доля детей из семей с денежными доходами ниже величины прожиточного минимума в Мурманской области от общей численности детей в регионе</t>
  </si>
  <si>
    <t>3.0.3</t>
  </si>
  <si>
    <t>Доля граждан, получивших социальные услуги в учреждениях социального обслуживания населения, в общем числе граждан, обратившихся за получением социальных услуг в учреждения социального обслуживания населения</t>
  </si>
  <si>
    <t>3.0.4</t>
  </si>
  <si>
    <t>Доля детей-сирот и детей, оставшихся без попечения родителей, переданных на воспитание в семьи, в общей численности детей-сирот и детей, оставшихся без попечения родителей</t>
  </si>
  <si>
    <t>3.0.6</t>
  </si>
  <si>
    <t xml:space="preserve"> =</t>
  </si>
  <si>
    <t>Суммарный коэффициент рождаемости</t>
  </si>
  <si>
    <t>число родившихся на 1 женщину</t>
  </si>
  <si>
    <t>Удельный вес зданий стационарных учреждений социального обслуживания граждан пожилого возраста, инвалидов (взрослых и детей), лиц без определенного места жительства и занятий, требующих реконструкции, зданий, находящихся в аварийном состоянии, ветхих зданий в общем количестве зданий стационарных учреждений социального обслуживания граждан пожилого возраста, инвалидов (взрослых и детей), лиц без определенного места жительства и занятий</t>
  </si>
  <si>
    <t>Удельный вес негосударственных поставщиков социальных услуг, осуществляющих социальное обслуживание, в общем количестве поставщиков социальных услуг, осуществляющих социальное обслуживание, всех форм собственности, включенных в реестр поставщиков</t>
  </si>
  <si>
    <t>Подпрограмма 2. "Улучшение положения и качества жизни социально уязвимых слоев населения"</t>
  </si>
  <si>
    <t>Число лиц, охваченных отдыхом и оздоровлением в рамках госпрограммы</t>
  </si>
  <si>
    <t>Доля инвалидов, принявших участие в мероприятиях по социокультурной реабилитации, от общего числа инвалидов</t>
  </si>
  <si>
    <t>Доля сотрудников учреждений социального обслуживания населения, принявших участие в мероприятиях по повышению профессиональной компетенции, от общего количества сотрудников учреждений социального обслуживания населения</t>
  </si>
  <si>
    <t>Доля граждан, находящихся в трудной жизненной ситуации, получивших социальную помощь, от общей численности обратившихся</t>
  </si>
  <si>
    <t>Доля граждан, обеспеченных слуховыми аппаратами, от общего количества обратившихся</t>
  </si>
  <si>
    <t>3.2.9</t>
  </si>
  <si>
    <t>Доля граждан, охваченных зубопротезированием, от общего количества обратившихся</t>
  </si>
  <si>
    <t>Охват граждан старше трудоспособного возраста профилактическими осмотрами, включая диспансеризацию</t>
  </si>
  <si>
    <t>Доля лиц старше трудоспособного возраста, у которых выявлены заболевания и патологические состояния, находящихся под диспансерным наблюдением</t>
  </si>
  <si>
    <t>Доля детей-сирот и детей, оставшихся без попечения родителей, лиц из их числа, которым предоставлены меры социальной поддержки, от общего числа детей-сирот и детей, оставшихся без попечения родителей, лиц из их числа, имеющих на это право</t>
  </si>
  <si>
    <t>3.3.4</t>
  </si>
  <si>
    <t>4.0.1</t>
  </si>
  <si>
    <t>Доля населения, систематически занимающегося физической культурой и спортом, в общей численности населения</t>
  </si>
  <si>
    <t>4.0.2</t>
  </si>
  <si>
    <t xml:space="preserve">Количество спортивных сооружений </t>
  </si>
  <si>
    <t>ед. на 100 тыс. населения</t>
  </si>
  <si>
    <t>4.2.3</t>
  </si>
  <si>
    <t>4.2.4</t>
  </si>
  <si>
    <t>Доля организаций, оказывающих услуги по спортивной подготовке в соответствии с федеральными стандартами спортивной подготовки, в общем количестве организаций в сфере физической культуры и спорта, в том числе для лиц с ограниченными возможностями здоровья и инвалидов</t>
  </si>
  <si>
    <t>Подпрограмма 3. "Развитие спортивной инфраструктуры"</t>
  </si>
  <si>
    <t>Единовременная пропускная способность объектов спорта (к всероссийскому нормативу)</t>
  </si>
  <si>
    <t>Эффективность использования существующих объектов спорта</t>
  </si>
  <si>
    <t>Единовременная пропускная способность объектов спорта, введенных в эксплуатацию в рамках Программы</t>
  </si>
  <si>
    <t>4.3.4</t>
  </si>
  <si>
    <t>Количество спортивных сооружений, в которых осуществлен капитальный и текущий  ремонт</t>
  </si>
  <si>
    <t xml:space="preserve">ед. </t>
  </si>
  <si>
    <t>5.0.2</t>
  </si>
  <si>
    <t>Подпрограмма 1. "Наследие"</t>
  </si>
  <si>
    <t>5.1.3</t>
  </si>
  <si>
    <t>5.1.4</t>
  </si>
  <si>
    <t>5.1.5</t>
  </si>
  <si>
    <t>5.2.3</t>
  </si>
  <si>
    <t>6.0.1</t>
  </si>
  <si>
    <t>Уровень общей безработицы</t>
  </si>
  <si>
    <t>6.0.2</t>
  </si>
  <si>
    <t>Уровень зарегистрированной безработицы</t>
  </si>
  <si>
    <t>6.0.3</t>
  </si>
  <si>
    <t>6.0.4</t>
  </si>
  <si>
    <t>Численность лиц с установленным в текущем году профессиональным заболеванием в расчете на 10 тыс. работающих</t>
  </si>
  <si>
    <t>Коэффициент частоты травматизма (на 1000 работников)</t>
  </si>
  <si>
    <t>Подпрограмма 1. "Содействие занятости населения Мурманской области"</t>
  </si>
  <si>
    <t>6.1.1</t>
  </si>
  <si>
    <t>Уровень трудоустройства граждан</t>
  </si>
  <si>
    <t>6.1.2</t>
  </si>
  <si>
    <t>6.1.3</t>
  </si>
  <si>
    <t>Среднегодовая численность безработных граждан, зарегистрированных в службе занятости</t>
  </si>
  <si>
    <t>тыс.чел.</t>
  </si>
  <si>
    <t>6.1.4</t>
  </si>
  <si>
    <t>Количество оборудованных (оснащенных) рабочих мест для трудоустройства инвалидов</t>
  </si>
  <si>
    <t>Подпрограмма 2. "Оказание содействия добровольному переселению в Мурманскую область соотечественников, проживающих за рубежом"</t>
  </si>
  <si>
    <t>6.2.1</t>
  </si>
  <si>
    <t>Численность пострадавших в результате несчастных случаев на производстве со смертельным исходом</t>
  </si>
  <si>
    <t>Количество дней временной нетрудоспособности в связи с несчастным случаем на производстве в расчете на 1 пострадавшего</t>
  </si>
  <si>
    <t>Количество рабочих мест, на которых в отчетном году проведена специальная оценка условий труда</t>
  </si>
  <si>
    <t xml:space="preserve">Удельный вес рабочих мест, на которых проведена специальная оценка условий труда, в общем количестве рабочих мест </t>
  </si>
  <si>
    <t>Численность работников, занятых во вредных и (или) опасных условиях труда</t>
  </si>
  <si>
    <t>Удельный вес работников, занятых во вредных и (или) опасных условиях труда, от общей численности работников</t>
  </si>
  <si>
    <t>Подпрограмма 6. "Сопровождение инвалидов молодого возраста при получении ими профессионального образования и содействие в последующем трудоустройстве"</t>
  </si>
  <si>
    <t>Доля работающих инвалидов молодого возраста в общей численности инвалидов молодого возраста</t>
  </si>
  <si>
    <t>7.0.1</t>
  </si>
  <si>
    <t>тыс. кв. метров</t>
  </si>
  <si>
    <t>7.0.2</t>
  </si>
  <si>
    <t>кв.м</t>
  </si>
  <si>
    <t>7.0.3</t>
  </si>
  <si>
    <t>человек</t>
  </si>
  <si>
    <t>7.0.7</t>
  </si>
  <si>
    <t>7.1.1</t>
  </si>
  <si>
    <t>7.1.3</t>
  </si>
  <si>
    <t>7.1.4</t>
  </si>
  <si>
    <t>7.1.5</t>
  </si>
  <si>
    <t>7.1.6</t>
  </si>
  <si>
    <t>7.1.7</t>
  </si>
  <si>
    <t xml:space="preserve">Количество молодых семей, получивших свидетельства о праве на получение социальной выплаты на приобретение (строительство) жилого помещения, в том числе имеющих трех и более детей
</t>
  </si>
  <si>
    <t>да - 1, нет - 0</t>
  </si>
  <si>
    <t>7.4.2</t>
  </si>
  <si>
    <t>7.4.3</t>
  </si>
  <si>
    <t>7.4.4</t>
  </si>
  <si>
    <t>Количество организаций, которым компенсированы недополученные доходы</t>
  </si>
  <si>
    <t>Доля отремонтированных инженерных сетей ЖКХ муниципальных образований от общего объема ветхих инженерных сетей, подлежащих ремонту, определенного по состоянию на 01.07.2012</t>
  </si>
  <si>
    <t>час.</t>
  </si>
  <si>
    <t>Энергоемкость валового регионального продукта</t>
  </si>
  <si>
    <t>Доля благоустроенных общественных территорий от общего количества общественных территорий Мурманской области</t>
  </si>
  <si>
    <t>8.0.1</t>
  </si>
  <si>
    <t>Минград МО</t>
  </si>
  <si>
    <t>8.0.2</t>
  </si>
  <si>
    <t>Доля граждан, принявших участие в решении вопросов развития городской среды, от общего количества граждан в возрасте от 14 лет, проживающих в муниципальных образованиях, на территории которых реализуются проекты по созданию комфортной городской среды</t>
  </si>
  <si>
    <t>8.1.1</t>
  </si>
  <si>
    <t>8.1.2</t>
  </si>
  <si>
    <t>8.1.3</t>
  </si>
  <si>
    <t>8.1.4</t>
  </si>
  <si>
    <t>9.0.1</t>
  </si>
  <si>
    <t>9.0.2</t>
  </si>
  <si>
    <t>9.0.3</t>
  </si>
  <si>
    <t>9.1</t>
  </si>
  <si>
    <t>Подпрограмма 1. "Профилактика правонарушений"</t>
  </si>
  <si>
    <t>9.1.1</t>
  </si>
  <si>
    <t>9.1.2</t>
  </si>
  <si>
    <t>9.1.3</t>
  </si>
  <si>
    <t>Темп роста (снижения) числа участников мероприятий профилактической направленности, проводимых государственными учреждениями культуры, к предыдущему году</t>
  </si>
  <si>
    <t>9.1.4</t>
  </si>
  <si>
    <t>Темп роста (снижения) количества правонарушений и преступлений экстремистской и террористической направленности по отношению к предыдущему году</t>
  </si>
  <si>
    <t>9.2</t>
  </si>
  <si>
    <t>Подпрограмма 2. "Обеспечение пожарной безопасности"</t>
  </si>
  <si>
    <t>9.2.1</t>
  </si>
  <si>
    <t>9.2.2</t>
  </si>
  <si>
    <t>9.3</t>
  </si>
  <si>
    <t>Подпрограмма 3. "Обеспечение защиты населения и территорий от чрезвычайных ситуаций"</t>
  </si>
  <si>
    <t>9.3.3</t>
  </si>
  <si>
    <t>Уровень охвата населения средствами оповещения</t>
  </si>
  <si>
    <t>10.0.1</t>
  </si>
  <si>
    <t>10.0.2</t>
  </si>
  <si>
    <t>10.0.3</t>
  </si>
  <si>
    <t>Лесистость территории</t>
  </si>
  <si>
    <t>Индекс численности основных 13 видов охотничьих ресурсов, обитающих на территории Мурманской области</t>
  </si>
  <si>
    <t>Подпрограмма 1. "Обеспечение экологической безопасности"</t>
  </si>
  <si>
    <t>10.1.1</t>
  </si>
  <si>
    <t>Доля площади Мурманской области, охваченной государственным мониторингом атмосферного воздуха</t>
  </si>
  <si>
    <t>10.1.2</t>
  </si>
  <si>
    <t>Доля площади Мурманской области, занятая особо охраняемыми природными территориями регионального значения</t>
  </si>
  <si>
    <t>Подпрограмма 2. "Охрана, защита и воспроизводство лесов"</t>
  </si>
  <si>
    <t>10.2.1</t>
  </si>
  <si>
    <t>Доля лесных пожаров, ликвидированных в течение 24 часов с момента обнаружения, в общем количестве лесных пожаров</t>
  </si>
  <si>
    <t>10.2.3</t>
  </si>
  <si>
    <t>10.2.4</t>
  </si>
  <si>
    <t>Доля площади земель лесного фонда, переданных в пользование, в общей площади земель лесного фонда</t>
  </si>
  <si>
    <t>10.2.5</t>
  </si>
  <si>
    <t>Объем платежей в бюджетную систему Российской Федерации от использования лесов, расположенных на землях лесного фонда, в расчете на 1 гектар земель лесного фонда</t>
  </si>
  <si>
    <t>руб./га</t>
  </si>
  <si>
    <t>10.2.6</t>
  </si>
  <si>
    <t>Подпрограмма 3. "Охрана и рациональное использование природных ресурсов"</t>
  </si>
  <si>
    <t>км</t>
  </si>
  <si>
    <t>10.3.2</t>
  </si>
  <si>
    <t>Протяженность береговой линии водных объектов, охваченной государственным мониторингом на постоянной основе</t>
  </si>
  <si>
    <t>10.3.3</t>
  </si>
  <si>
    <t>10.3.4</t>
  </si>
  <si>
    <t>10.5.1</t>
  </si>
  <si>
    <t>Доля видов охотничьих ресурсов, по которым ведется учет их численности в рамках государственного мониторинга охотничьих ресурсов и среды их обитания, в общем количестве видов охотничьих ресурсов, обитающих на территории Мурманской области</t>
  </si>
  <si>
    <t>Доля нарушений, выявленных при осуществлении федерального государственного охотничьего надзора, по которым вынесены постановления о привлечении к административной ответственности, к общему количеству выявленных нарушений</t>
  </si>
  <si>
    <t>11.0.1</t>
  </si>
  <si>
    <t>11.0.2</t>
  </si>
  <si>
    <t>11.0.3</t>
  </si>
  <si>
    <t>Количество случаев заболевания людей болезнями от продукции животного происхождения, подлежащей ветеринарно-санитарной экспертизе</t>
  </si>
  <si>
    <t>Комитет по ветеринарии Мурманской области</t>
  </si>
  <si>
    <t>Объем производства продукции товарной аквакультуры</t>
  </si>
  <si>
    <t>Подпрограмма 1. "Развитие агропромышленного комплекса"</t>
  </si>
  <si>
    <t>11.1.2</t>
  </si>
  <si>
    <t>Доля самоходных транспортных средств (тракторы, автомобили) со сроком эксплуатации более 10 лет в структуре парка сельхозтехники</t>
  </si>
  <si>
    <t>11.1.5</t>
  </si>
  <si>
    <t>тыс. тонн</t>
  </si>
  <si>
    <t>Посевная площадь кормовых культур по сельскохозяйственным организациям, крестьянским (фермерским) хозяйствам, включая индивидуальных предпринимателей, в районах Крайнего Севера и приравненных к ним местностях</t>
  </si>
  <si>
    <t>тыс. гектаров</t>
  </si>
  <si>
    <t>11.1.8</t>
  </si>
  <si>
    <t>тыс. голов</t>
  </si>
  <si>
    <t>11.2.1</t>
  </si>
  <si>
    <t>кв. м.</t>
  </si>
  <si>
    <t>11.2.3</t>
  </si>
  <si>
    <t>11.3.1</t>
  </si>
  <si>
    <t>11.3.2</t>
  </si>
  <si>
    <t>11.3.3</t>
  </si>
  <si>
    <t>Доля выявленной некачественной и опасной пищевой продукции животного происхождения при проведении ветеринарно-санитарной экспертизы</t>
  </si>
  <si>
    <t>11.3.4</t>
  </si>
  <si>
    <t>11.3.5</t>
  </si>
  <si>
    <t>11.3.6</t>
  </si>
  <si>
    <t>Количество животных (птиц), подвергнутых плановым профилактическим вакцинациям против особо опасных болезней животных и болезней, общих для человека и животных (птиц)</t>
  </si>
  <si>
    <t>тыс. гол.</t>
  </si>
  <si>
    <t>Количество животных, подвергнутых диагностическим исследованиям на особо опасные болезни животных (птиц) и болезни, общие для человека и животных (птиц)</t>
  </si>
  <si>
    <t>Количество сформированных рыболовных участков (нарастающим итогом)</t>
  </si>
  <si>
    <t>Количество сформированных рыбоводных участков (нарастающим итогом)</t>
  </si>
  <si>
    <t>Объем выпуска ценных видов водных биоресурсов в естественные водоемы</t>
  </si>
  <si>
    <t>Объем экспорта рыбы и морепродуктов</t>
  </si>
  <si>
    <t>12.0.1</t>
  </si>
  <si>
    <t>12.0.2</t>
  </si>
  <si>
    <t>Количество регулярных межмуниципальных маршрутов автомобильного, железнодорожного и морского транспорта</t>
  </si>
  <si>
    <t>12.0.3</t>
  </si>
  <si>
    <t>Количество дорожно-транспортных происшествий</t>
  </si>
  <si>
    <t>Подпрограмма 1. "Автомобильные дороги Мурманской области"</t>
  </si>
  <si>
    <t>12.1.1</t>
  </si>
  <si>
    <t xml:space="preserve">Прирост протяженности автомобильных дорог общего пользования регионального или межмуниципального, а также местного значения на территории субъекта Российской Федерации, соответствующих нормативным требованиям к транспортно-эксплуатационным показателям, в результате капитального ремонта и ремонта автомобильных дорог (начиная с 2019 года
</t>
  </si>
  <si>
    <t>12.1.2</t>
  </si>
  <si>
    <t>12.1.3</t>
  </si>
  <si>
    <t>12.1.4</t>
  </si>
  <si>
    <t>12.1.6</t>
  </si>
  <si>
    <t>12.1.7</t>
  </si>
  <si>
    <t>м п.</t>
  </si>
  <si>
    <t>12.1.8</t>
  </si>
  <si>
    <t>12.1.9</t>
  </si>
  <si>
    <t>Подпрограмма 2. "Организация транспортного обслуживания населения на территории Мурманской области"</t>
  </si>
  <si>
    <t>12.2.1</t>
  </si>
  <si>
    <t>Доля населенных пунктов с ограниченным сроком завоза грузов, своевременно обеспеченных продовольственными товарами, в общем количестве населенных пунктов, отнесенных к районам с ограниченным сроком завоза грузов</t>
  </si>
  <si>
    <t>12.2.2</t>
  </si>
  <si>
    <t>Объем выполненной работы автомобильным транспортом на пригородных и междугородных маршрутах</t>
  </si>
  <si>
    <t>млн. пасс.-км</t>
  </si>
  <si>
    <t>млн. поездок</t>
  </si>
  <si>
    <t>12.2.4</t>
  </si>
  <si>
    <t>Объем выполненной работы пригородным железнодорожным транспортом</t>
  </si>
  <si>
    <t>Количество перевезенных пассажиров авиационным транспортом на территории Мурманской области</t>
  </si>
  <si>
    <t>Количество перевезенных пассажиров морским транспортом на территории Мурманской области</t>
  </si>
  <si>
    <t>Объем работы по перевозке льготных категорий граждан, выполненной автомобильным и наземным электрическим транспортом на городских маршрутах</t>
  </si>
  <si>
    <t>Подпрограмма 3. "Безопасность дорожного движения и снижение дорожно-транспортного травматизма в Мурманской области"</t>
  </si>
  <si>
    <t>12.3.1</t>
  </si>
  <si>
    <t>Количество ДТП с участием детей в возрасте до 16 лет</t>
  </si>
  <si>
    <t>12.3.3</t>
  </si>
  <si>
    <t>Количество ДТП по вине пешеходов</t>
  </si>
  <si>
    <t>Доля правонарушений в сфере безопасности дорожного движения, выявленных при помощи средств фотовидеофиксации, от общего количества выявленных правонарушений</t>
  </si>
  <si>
    <t>12.3.5</t>
  </si>
  <si>
    <t>Уровень обеспеченности подразделений государственной противопожарной службы Мурманской области аварийно-спасательным оборудованием</t>
  </si>
  <si>
    <t>Число погибших в дорожно-транспортных происшествиях, человек на 100 тысяч населения</t>
  </si>
  <si>
    <t>13.0.1</t>
  </si>
  <si>
    <t>Численность занятых в сфере малого и среднего предпринимательства, включая индивидуальных предпринимателей</t>
  </si>
  <si>
    <t>13.0.2</t>
  </si>
  <si>
    <t>13.0.3</t>
  </si>
  <si>
    <t>13.1.1</t>
  </si>
  <si>
    <t>13.1.2</t>
  </si>
  <si>
    <t>13.1.3</t>
  </si>
  <si>
    <t>13.1.4</t>
  </si>
  <si>
    <t>Подпрограмма 2. "Поддержка малого и среднего предпринимательства"</t>
  </si>
  <si>
    <t>13.2.1</t>
  </si>
  <si>
    <t>13.2.2</t>
  </si>
  <si>
    <t>Количество субъектов малого и среднего предпринимательства (включая индивидуальных предпринимателей) в расчете на 1 тыс. человек населения</t>
  </si>
  <si>
    <t>13.2.3</t>
  </si>
  <si>
    <t>да-1, нет-0</t>
  </si>
  <si>
    <t>14.0.1</t>
  </si>
  <si>
    <t>14.0.2</t>
  </si>
  <si>
    <t>14.0.3</t>
  </si>
  <si>
    <t>14.1.1</t>
  </si>
  <si>
    <t>14.1.2</t>
  </si>
  <si>
    <t>14.1.3</t>
  </si>
  <si>
    <t>14.1.4</t>
  </si>
  <si>
    <t>14.1.5</t>
  </si>
  <si>
    <t>14.2.1</t>
  </si>
  <si>
    <t>14.2.2</t>
  </si>
  <si>
    <t>14.2.3</t>
  </si>
  <si>
    <t>15.0.1</t>
  </si>
  <si>
    <t>15.0.2</t>
  </si>
  <si>
    <t>группа</t>
  </si>
  <si>
    <t>II</t>
  </si>
  <si>
    <t>15.0.4</t>
  </si>
  <si>
    <t>Подпрограмма 1. "Управление региональными финансами"</t>
  </si>
  <si>
    <t>15.1.1</t>
  </si>
  <si>
    <t>15.1.2</t>
  </si>
  <si>
    <t>15.1.3</t>
  </si>
  <si>
    <t>15.1.4</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</si>
  <si>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</si>
  <si>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15.2.1</t>
  </si>
  <si>
    <t>15.2.2</t>
  </si>
  <si>
    <t>15.2.3</t>
  </si>
  <si>
    <t xml:space="preserve">да-1/нет-0
</t>
  </si>
  <si>
    <t>15.2.4</t>
  </si>
  <si>
    <t>15.3.1</t>
  </si>
  <si>
    <t>15.3.3</t>
  </si>
  <si>
    <t>15.4.1</t>
  </si>
  <si>
    <t>15.4.2</t>
  </si>
  <si>
    <t>15.4.3</t>
  </si>
  <si>
    <t>Доля опротестованных органами прокуратуры правовых актов Губернатора и Правительства Мурманской области от общего числа принятых правовых актов</t>
  </si>
  <si>
    <t>Доля муниципальных образований Мурманской области, которым была оказана организационная, методическая и консультационная поддержка в рамках программных мероприятий, от общего числа муниципальных образований</t>
  </si>
  <si>
    <t>Уровень общероссийской гражданской идентичности жителей Мурманской области</t>
  </si>
  <si>
    <t>Подпрограмма 1. "Создание условий для обеспечения государственного управления"</t>
  </si>
  <si>
    <t>Доля органов государственной власти Мурманской области, удовлетворенных материально-техническим, транспортным, документационным обеспечением их деятельности, осуществляемым ГОБУ «Автобаза Правительства Мурманской области» и ГОБУ «Управление по обеспечению деятельности Правительства Мурманской области», от общего количества органов государственной власти Мурманской области, принявших участие в анкетировании</t>
  </si>
  <si>
    <t>Объем юридических услуг, оказанных адвокатами в рамках государственной системы бесплатной юридической помощи</t>
  </si>
  <si>
    <t>Численность лиц, замещающих муниципальные должности, муниципальных служащих Мурманской области, сотрудников муниципальных бюджетных учреждений, прошедших обучение в рамках программных мероприятий</t>
  </si>
  <si>
    <t>Подпрограмма 2. "Управление государственным имуществом Мурманской области"</t>
  </si>
  <si>
    <t>единица</t>
  </si>
  <si>
    <t>Доля объектов недвижимости, в отношении которых осуществлены сбор, обработка, систематизация и накопление информации, в общем количестве объектов недвижимости, в отношении которых необходимо провести работы по сбору, обработке, систематизации и накоплению информации, необходимой для определения кадастровой стоимости</t>
  </si>
  <si>
    <t>Доля мировых судей, впервые назначенных на должность судьи, прошедших переподготовку в течение года со дня назначения на должность судьи</t>
  </si>
  <si>
    <t>Доля эксплуатируемых зданий (помещений) судебных участков мировых судей, отвечающих установленным требованиям,  от общего количества эксплуатируемых зданий (помещений) судебных участков мировых судей</t>
  </si>
  <si>
    <t>Доля судебных участков мировых судей, имеющих интернет-сайты с актуальной информацией о вынесенных судебных решениях и движении дел</t>
  </si>
  <si>
    <t xml:space="preserve"> - показатель имеет высокую степень достижения (от 99,5 до 150%) или перевыполнен (более 150%)</t>
  </si>
  <si>
    <t>**Динамика значений показателей рассчитана с учетом направленности показателей:</t>
  </si>
  <si>
    <t>1.7.1</t>
  </si>
  <si>
    <t>2.3.5</t>
  </si>
  <si>
    <t>2.3.6</t>
  </si>
  <si>
    <t>2.3.7</t>
  </si>
  <si>
    <t>4.1.4</t>
  </si>
  <si>
    <t>8.0.3</t>
  </si>
  <si>
    <t>Минимущества МО</t>
  </si>
  <si>
    <t>Государственная программа 14. "Информационное общество"</t>
  </si>
  <si>
    <t>Государственная программа 16. "Государственное управление и гражданское общество"</t>
  </si>
  <si>
    <t>Проектно-изыскательские и прочие работы</t>
  </si>
  <si>
    <t>Подпрограмма "Автомобильные дороги Мурманской области"</t>
  </si>
  <si>
    <t xml:space="preserve">ФБ </t>
  </si>
  <si>
    <t xml:space="preserve">МБ </t>
  </si>
  <si>
    <t>Подпрограмма "Развитие спортивной инфраструктуры"</t>
  </si>
  <si>
    <t>Подпрограмма "Развитие инфраструктуры системы здравоохранения"</t>
  </si>
  <si>
    <t>Степень выполнения</t>
  </si>
  <si>
    <t>Выполнено за счет остатков средств прошлых лет</t>
  </si>
  <si>
    <t>Кассовые расходы</t>
  </si>
  <si>
    <t xml:space="preserve">Предусмотрено программой </t>
  </si>
  <si>
    <t xml:space="preserve">Краткая характеристика работ, выполненных за отчетный период, причины отставания </t>
  </si>
  <si>
    <t>Техническая готовность объекта</t>
  </si>
  <si>
    <t>Источ-ник</t>
  </si>
  <si>
    <t>Общая стоимость объекта, тыс. рублей</t>
  </si>
  <si>
    <t>Сроки выполнения работ</t>
  </si>
  <si>
    <t>Соисполнитель (ГРБС), заказчик-застройщик</t>
  </si>
  <si>
    <t>Государственная программа, подпрограмма, объект капитального строительства</t>
  </si>
  <si>
    <t>Приложение № 4</t>
  </si>
  <si>
    <t>Комитет по туризму МО</t>
  </si>
  <si>
    <t>Риск «бытовой» коррупции</t>
  </si>
  <si>
    <t>Риск «деловой» коррупции</t>
  </si>
  <si>
    <t xml:space="preserve">Министерство внутренней политики Мурманской области                              </t>
  </si>
  <si>
    <t>Общая численность граждан, вовлеченных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t>
  </si>
  <si>
    <t>млн. человек</t>
  </si>
  <si>
    <t>5.3.1</t>
  </si>
  <si>
    <t>5.3.2</t>
  </si>
  <si>
    <t>5.3.3</t>
  </si>
  <si>
    <t>5.3.4</t>
  </si>
  <si>
    <t>6.1.7</t>
  </si>
  <si>
    <t>Министерство транспорта и дорожного хозяйства Мурманской области</t>
  </si>
  <si>
    <t>Количество строящихся (реконструируемых) в рамках программы объектов</t>
  </si>
  <si>
    <t>Ввод (приобретение) жилья для граждан, проживающих в сельской местности</t>
  </si>
  <si>
    <t>Количество граждан, обратившихся в учреждения здравоохранения в связи с нападениями и укусами животных</t>
  </si>
  <si>
    <t xml:space="preserve">Доля укусов граждан животными без владельцев в общем количестве граждан, подвергшихся укусам животных </t>
  </si>
  <si>
    <t>Объемы и источники финансирования 
(тыс. руб.)</t>
  </si>
  <si>
    <t>Государственная программа 1. "Здравоохранение"</t>
  </si>
  <si>
    <t xml:space="preserve">Обеспеченность населения врачами в государственных (подчинения субъекта РФ) учреждениях здравоохранения
</t>
  </si>
  <si>
    <t>Доля лиц, обеспеченных лекарственными препаратами в амбулаторных условиях, в общем числе лиц,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находящихся под диспансерным наблюдением</t>
  </si>
  <si>
    <t>Отклонение целевых показателей от плановых значений обусловлено  активной кадровой политикой</t>
  </si>
  <si>
    <t>Охват диспансеризацией детей-сирот и детей, оказавшихся в трудной жизненной ситуации</t>
  </si>
  <si>
    <t xml:space="preserve">Охват населения иммунизацией против вирусного гепатита B в декретированные сроки
</t>
  </si>
  <si>
    <t xml:space="preserve">Охват населения иммунизацией против дифтерии, коклюша и столбняка в декретированные сроки
</t>
  </si>
  <si>
    <t xml:space="preserve">Число лиц, дополнительно эвакуированных с использованием санитарной авиации
</t>
  </si>
  <si>
    <t>Рациональное планирование</t>
  </si>
  <si>
    <t>Подпрограмма 2. "Совершенствование оказания специализированной,  в том числе высокотехнологичной,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</si>
  <si>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 xml:space="preserve">Больничная летальность от инфаркта миокарда
</t>
  </si>
  <si>
    <t>Смертность детей в возрасте 0 - 4 года</t>
  </si>
  <si>
    <t>на 1000, родившихся живыми</t>
  </si>
  <si>
    <t xml:space="preserve">Охват неонатальным скринингом
</t>
  </si>
  <si>
    <t xml:space="preserve">Охват аудиологическим скринингом
</t>
  </si>
  <si>
    <t>Доля государственных учреждений здравоохранения, здания которых находятся в аварийном состоянии или требуют капитального ремонта, в общем количестве государственных учреждений здравоохранения</t>
  </si>
  <si>
    <t>Количество объектов капитального строительства, введенных в эксплуатацию в рамках программы</t>
  </si>
  <si>
    <t xml:space="preserve">Количество приобретенного в рамках программы автотранспорта для подведомственных учреждений
</t>
  </si>
  <si>
    <t>Минздрав МО, Минстрой МО</t>
  </si>
  <si>
    <t>Укомплектованность врачебных должностей в подразделениях, оказывающих медицинскую помощь в амбулаторных условиях в Мурманской области (физическими лицами при коэффициенте совместительства 1,0)</t>
  </si>
  <si>
    <t xml:space="preserve">Укомплектованность должностей среднего медицинского персонала в подразделениях, оказывающих медицинскую помощь в амбулаторных условиях в Мурманской области (физическими лицами при коэффициенте совместительства 1,0)
</t>
  </si>
  <si>
    <t>Число специалистов, вовлеченных в систему непрерывного образования медицинских работников, в том числе с использованием дистанционных образовательных технологий</t>
  </si>
  <si>
    <t>Численность врачей, работающих в государственных медицинских организациях Мурманской области</t>
  </si>
  <si>
    <t xml:space="preserve">Численность средних медицинских работников, работающих в государственных медицинских организациях Мурманской области
</t>
  </si>
  <si>
    <t>Доля специалистов, допущенных к профессиональной деятельности через процедуру аккредитации, от общего количества работающих специалистов</t>
  </si>
  <si>
    <t>Количество автоматизированных рабочих мест медицинских работников, подключенных к медицинским информационным системам в государственных областных медицинских организациях Мурманской области</t>
  </si>
  <si>
    <t xml:space="preserve">Доля территориально выделенных структурных подразделений государственных областных медицинских организаций (включая ФАП и ФП), оказывающих медицинскую помощь, подключенных по защищенным каналам передачи данных к региональному сегменту ЕГИСЗ
</t>
  </si>
  <si>
    <t>Доля территориально выделенных структурных подразделений государственных областных медицинских организаций (включая ФАП и ФП), оказывающих медицинскую помощь, осуществляющих передачу медицинской информации в региональную интегрированную электронную медицинскую карту</t>
  </si>
  <si>
    <t>Доля территориально выделенных структурных подразделений государственных областных медицинских организаций (включая ФАП и ФП), оказывающих медицинскую помощь, передающих юридически значимые электронные медицинские документы в подсистему ЕГИСЗ "Реестр электронных медицинских документов"</t>
  </si>
  <si>
    <t xml:space="preserve">Подпрограмма 7 "Управление системой здравоохранения, включая обеспечение реализации государственной программы"                                                                                                                               </t>
  </si>
  <si>
    <t>1.7.2</t>
  </si>
  <si>
    <t xml:space="preserve">Доля предоставленных/переоформленных лицензий в общем количестве рассмотренных заявлений о предоставлении/переоформлении лицензии на осуществление медицинской, фармацевтической и деятельности по обороту наркотических средств, психотропных веществ и их прекурсоров, культивированию наркосодержащих растений
</t>
  </si>
  <si>
    <t>Государственная программа 2. "Образование и наука"</t>
  </si>
  <si>
    <t>2.0.5</t>
  </si>
  <si>
    <t>Доля детей в возрасте от 5 до 18 лет, охваченных дополнительным образованием</t>
  </si>
  <si>
    <t>Численность студентов, обучающихся по основным образовательным программам среднего профессионального образования в профессиональных образовательных организациях, в расчете на одного работника, замещающего должности преподавателей и (или) мастеров производственного обучения</t>
  </si>
  <si>
    <t>Отношение средней заработной платы преподавателей и мастеров производственного обучения профессиональных образовательных организаций к среднемесячному доходу от трудовой деятельности в Мурманской области</t>
  </si>
  <si>
    <t>Число мастерских, оснащенных современной материально-технической базой по одной из компетенций, (накопительным итогом)</t>
  </si>
  <si>
    <t>Количество мероприятий в сфере исследований и научных разработок (конкурс монографий и научных трудов, конкурс научных работ молодых ученых и специалистов Мурманской области, региональный молодежный форум "Молодая наука Арктики" и т.д.)</t>
  </si>
  <si>
    <t>Подпрограмма 2. "Развитие дошкольного и общего образования"</t>
  </si>
  <si>
    <t>Отношение среднемесячной заработной платы педагогических работников дошкольных образовательных учреждений в организациях государственной и муниципальной форм собственности в размере не менее 100 % от средней заработной платы в сфере общего образования в Мурманской области</t>
  </si>
  <si>
    <t>Доля организаций, реализующих программы начального, основного и среднего общего образования, реализующие общеобразовательные программы в сетевой форме, в общем количестве таких организаций</t>
  </si>
  <si>
    <t>Доля учителей в возрасте до 35 лет, вовлеченных в различные формы поддержки и сопровождения в первые три года работы</t>
  </si>
  <si>
    <t>Доля граждан, положительно оценивших качество услуг психолого-педагогической, методической и консультативной помощи, от общего числа обратившихся за получением услуги</t>
  </si>
  <si>
    <t>Отношение среднемесячной заработной платы педагогических работников образовательных учреждений общего образования в организациях государственной и муниципальной форм собственности к среднемесячному доходу от трудовой деятельности в Мурманской области</t>
  </si>
  <si>
    <t>Доля государственных и муниципальных образовательных организаций, реализующих программы основного общего и среднего профессионального образования, подключенных к сети Интернет на скорости не менее 50 Мбит/с для организаций, расположенных в сельской местности, 100 Мбит/с для организаций, расположенных в городской местности</t>
  </si>
  <si>
    <t>Подпрограмма 3. "Развитие дополнительного образования"</t>
  </si>
  <si>
    <t>Доля детей, получающих услуги дополнительного образования в негосударственных организациях, в общем числе детей, охваченных дополнительным образованием</t>
  </si>
  <si>
    <t>Доля детей, охваченных дополнительными общеобразовательными программами технической и естественно-научной направленности в системе образования</t>
  </si>
  <si>
    <t>Отношение средней заработной платы педагогических работников государственных организаций дополнительного образования детей, подведомственных Министерству образования и науки Мурманской области, к средней заработной плате учителей</t>
  </si>
  <si>
    <t>Удельный вес численности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регионального уровня, в общей численности обучающихся по основным образовательным программам начального, основного общего и среднего общего образования</t>
  </si>
  <si>
    <t>Удельный вес численности детей, охваченных мероприятиями профилактической направленности</t>
  </si>
  <si>
    <t>Доля отдохнувших и оздоровленных детей в возрасте от 6 до 18 лет в оздоровительных учреждениях от общей численности детей данной возрастной категории</t>
  </si>
  <si>
    <t>Доля обучающихся организаций, осуществляющих образовательную деятельность по дополнительным общеобразовательным программам, вовлеченных в различные формы наставничества (нарастающим итогом)</t>
  </si>
  <si>
    <t>2.4.1</t>
  </si>
  <si>
    <t>2.4.2</t>
  </si>
  <si>
    <t>Подпрограмма 4. "Совершенствование управления системой образования"</t>
  </si>
  <si>
    <t>Государственная программа 3. "Социальная поддержка"</t>
  </si>
  <si>
    <t>Подпрограмма 1. "Модернизация системы социальной защиты населения Мурманской области"</t>
  </si>
  <si>
    <t>Доля лиц, получающих социальные услуги в организациях социального обслуживания, охваченных социальным сопровождением, в числе лиц, получающих социальные услуги в организациях социального обслуживания</t>
  </si>
  <si>
    <t>Отношение средней заработной платы социальных работников в организациях государственной и муниципальной форм собственности, включая социальных работников медицинских организаций, к среднемесячной начисленной заработной плате наемных работников в организациях, у индивидуальных предпринимателей и физических лиц (среднемесячному доходу от трудовой деятельности) по региону</t>
  </si>
  <si>
    <t>3.2.11</t>
  </si>
  <si>
    <t>3.2.12</t>
  </si>
  <si>
    <t>Доля средств областного бюджета, предусмотренных на социальное обеспечение и иные выплаты населению, предоставляемые на основе принципов адресности и нуждаемости, в общем объеме средств областного бюджета, предусмотренных на социальное обеспечение и иные выплаты населению</t>
  </si>
  <si>
    <t>Доля инвалидов, положительно оценивающих уровень доступности предоставляемых услуг в сферах социальной защиты и социального обслуживания, в общей численности опрошенных инвалидов в Мурманской области</t>
  </si>
  <si>
    <t>Доля граждан, охваченных мероприятиями социально ориентированных некоммерческих организаций (СО НКО), получивших финансовую поддержку на конкурсной основе на реализацию социально значимых программ (проектов), от общего количества граждан, запланированных к участию в таких мероприятиях</t>
  </si>
  <si>
    <t>Подпрограмма 3. "Оказание мер социальной поддержки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</si>
  <si>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Доля детей-сирот и детей, оставшихся без попечения родителей, лиц из их числа,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включенных в сводный список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подлежащих обеспечению жилыми помещениями на территории Мурманской области, обеспеченных жилыми помещениями за отчетный финансовый год в численности детей-сирот и детей, оставшихся без попечения родителей, лиц из их числа,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подлежащих обеспечению жилыми помещениями в отчетном году</t>
  </si>
  <si>
    <t>Численность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обеспеченных благоустроенными жилыми помещениями специализированного жилищного фонда по договорам найма специализированных жилых помещений за счет средств субвенции из областного бюджета бюджетам органов местного самоуправления</t>
  </si>
  <si>
    <t>Доля детей, в отношении которых установлен социальный патронат</t>
  </si>
  <si>
    <t>3.3.6</t>
  </si>
  <si>
    <t>Государственная программа 4. "Физическая культура и спорт"</t>
  </si>
  <si>
    <t>Государственная программа 5. "Культура"</t>
  </si>
  <si>
    <t>процентов</t>
  </si>
  <si>
    <t xml:space="preserve">Уровень удовлетворенности населения качеством предоставления государственных (муниципальных) услуг в сфере культуры </t>
  </si>
  <si>
    <t>баллы</t>
  </si>
  <si>
    <t xml:space="preserve">Доля объектов культурного наследия регионального значения, обеспеченных зонами охраны                                                </t>
  </si>
  <si>
    <t>Доля объектов культурного наследия, в отношении которых проведены мероприятия по государственной охране</t>
  </si>
  <si>
    <t xml:space="preserve">Средняя численность пользователей архивной информацией на 10 тысяч населения 
</t>
  </si>
  <si>
    <t>Доля документов, переведенных в электронный вид, от общего количества документов Архивного фонда Мурманской области, принятых на государственное хранение</t>
  </si>
  <si>
    <t xml:space="preserve">Доля экспонируемых музейных предметов за отчетный период от общего количества предметов музейного фонда </t>
  </si>
  <si>
    <t>Подпрограмма 2. "Модернизация системы государственных и муниципальных библиотек  и развитие литературного творчества в Мурманской области"</t>
  </si>
  <si>
    <t>Доля зарегистрированных пользователей государственных и муниципальных библиотек из числа молодежи в возрасте 15-30 лет включительно в общем числе проживающих в регионе лиц этой возрастной категории</t>
  </si>
  <si>
    <t>Количество литераторов, получивших экспертную оценку и поддержку на издание и публикацию произведений</t>
  </si>
  <si>
    <t>Подпрограмма 3. "Развитие искусства, творческого потенциала и организация досуга населения"</t>
  </si>
  <si>
    <t>Доля учащихся образовательных организаций в сфере культуры, привлеченных к участию международных, всероссийских, региональных творческих мероприятиях по отношению к показателю 2017 года</t>
  </si>
  <si>
    <t>Рост количества  мероприятий,  проводимых в  государственных театрально-зрелищных организациях в рамках государственной программы  по отношению к 2017 году</t>
  </si>
  <si>
    <t>Число посещений культурно-массовых мероприятий, проводимых государственными и муниципальными культурно-досуговыми учреждениями, на 100 тыс населения</t>
  </si>
  <si>
    <t>Прирост количества субсидий (в том числе грантов в форме субсидий), предоставленных негосударственным организациям и юридическим или физическим лицам, по отношению к уровню 2020 года</t>
  </si>
  <si>
    <t>Количество работников учреждений культуры и образования в сфере культуры, которым оказана поддержка</t>
  </si>
  <si>
    <t>Государственная программа 6. "Занятость и труд"</t>
  </si>
  <si>
    <t>Коэффициент территориальной дифференциации безработицы</t>
  </si>
  <si>
    <t xml:space="preserve">Активизация мер по содействию в трудоустройстве путем направления на получение профессионального обучения или дополнительного профессионального образования, организации проведения временных и общественных работ, содействия самозанятости в Терском районе </t>
  </si>
  <si>
    <t>6.2.2</t>
  </si>
  <si>
    <t>6.2.3</t>
  </si>
  <si>
    <t>Численность участников Госпрограммы и членов их семей, прибывших в Мурманскую область и поставленных на учет в Управлении Министерства внутренних дел Российской Федерации по Мурманской области</t>
  </si>
  <si>
    <t>Доля участников Госпрограммы и членов их семей трудоспособного возраста, переселившихся в регион, в общем числе участников Госпрограммы и членов их семей, прибывших в Мурманскую область и поставленных на учет в УМВД России по Мурманской области</t>
  </si>
  <si>
    <t>Численность участников Госпрограммы, имеющих двух и более детей, прибывших в Мурманскую область и поставленных на учет в УМВД России по Мурманской области</t>
  </si>
  <si>
    <t>Подпрограмма 3. "Улучшение условий и охраны труда в Мурманской области"</t>
  </si>
  <si>
    <t>5.3.6</t>
  </si>
  <si>
    <t>6.3.1</t>
  </si>
  <si>
    <t>Численность пострадавших (застрахованных работников) в результате несчастных случаев на производстве с утратой трудоспособности на 1 рабочий день и более</t>
  </si>
  <si>
    <t>Численность работников с впервые установленным в текущем году профессиональным заболеванием</t>
  </si>
  <si>
    <t>6.3.2</t>
  </si>
  <si>
    <t>6.3.3</t>
  </si>
  <si>
    <t>6.3.4</t>
  </si>
  <si>
    <t>6.3.5</t>
  </si>
  <si>
    <t>6.3.6</t>
  </si>
  <si>
    <t>6.3.7</t>
  </si>
  <si>
    <t>6.3.8</t>
  </si>
  <si>
    <t>Государственная программа 9. "Общественная безопасность"</t>
  </si>
  <si>
    <t xml:space="preserve">Уровень преступности
</t>
  </si>
  <si>
    <t xml:space="preserve">Количество деструктивных событий (количество ЧС и пожаров)
</t>
  </si>
  <si>
    <t xml:space="preserve">Количество пострадавших (людей, погибших или получивших ущерб здоровью) при деструктивных событиях (в ЧС и при пожарах)
</t>
  </si>
  <si>
    <t>количество преступлений на 100 тыс. человек</t>
  </si>
  <si>
    <t>Превышение планового показателя связано с повышением эффективности проведения профилактических мер по предупреждению деструктивных событий</t>
  </si>
  <si>
    <t>Удельный вес преступлений, совершенных в общественных местах, к общему числу зарегистрированных преступлений</t>
  </si>
  <si>
    <t>Доля несовершеннолетних, в отношении которых прекращена индивидуальная профилактическая работа по причине улучшения ситуации, в общем количестве несовершеннолетних, в отношении которых органами и учреждениями системы профилактики проводилась индивидуальная профилактическая работа в течение отчетного периода</t>
  </si>
  <si>
    <t>Пересмотреть оценку плановых значений показателя при внесении изменений в государственную программу с учетом факторов, на которые отсутствует возможность влияния</t>
  </si>
  <si>
    <t>Темп роста (снижения) времени оперативного реагирования на пожары (к 2019 году)</t>
  </si>
  <si>
    <t xml:space="preserve">Снижение среднего ущерба, приходящегося на один пожар (к 2019 году)
</t>
  </si>
  <si>
    <t xml:space="preserve">Темп роста (снижения) времени реагирования аварийно-спасательных служб на происшествия и ЧС (к 2019 году)
</t>
  </si>
  <si>
    <t>Государственная программа 10. "Природные ресурсы и экологи"</t>
  </si>
  <si>
    <t xml:space="preserve">Доля массовых социально значимых услуг, предоставляемых в электронном виде на Едином портале государственных и муниципальных услуг (функций)
</t>
  </si>
  <si>
    <t xml:space="preserve">Доля домохозяйств, имеющих широкополосный доступ к сети Интернет
</t>
  </si>
  <si>
    <t xml:space="preserve">Количество платформенных решений и сервисов, используемых для взаимодействия исполнительными органами государственной власти, органами местного самоуправления, населения и бизнеса Мурманской области
</t>
  </si>
  <si>
    <t>Подпрограмма 1. "Развитие информационного общества и внедрение цифровых технологий"</t>
  </si>
  <si>
    <t xml:space="preserve">Уровень удовлетворенности граждан качеством предоставления государственных услуг на базе МФЦ в соответствии с оценками, переданными в ИАС "Мониторинг качества государственных услуг"
</t>
  </si>
  <si>
    <t xml:space="preserve">Доля документов исполнительных органов государственной власти Мурманской области, изданных в электронном виде
</t>
  </si>
  <si>
    <t xml:space="preserve">Доля жителей Мурманской области, зарегистрированных в Единой системе идентификации и аутентификации
</t>
  </si>
  <si>
    <t xml:space="preserve">Средний срок простоя государственных информационных систем в результате компьютерных атак
</t>
  </si>
  <si>
    <t xml:space="preserve">Доступность государственных информационных систем, включенных в информационно-вычислительную сеть исполнительных органов государственной власти Мурманской области
</t>
  </si>
  <si>
    <t xml:space="preserve">Министерство внутренней политики Мурманской области </t>
  </si>
  <si>
    <t>Подпрограмма 2. "Цифровая трансформация форматов взаимодействия населения Мурманской области и исполнительных органов государственной власти и органов местного самоуправления Мурманской области"</t>
  </si>
  <si>
    <t xml:space="preserve">Количество уникальных активных пользователей цифровой платформы вовлечения граждан в решение вопросов городского развития, на 10 тыс. человек населения
</t>
  </si>
  <si>
    <t xml:space="preserve">Доля муниципальных образований, подключенных к единой системе мониторинга уборки территорий муниципальных образований, от общего количества муниципальных образований
</t>
  </si>
  <si>
    <t xml:space="preserve">Количество уникальных активных пользователей мобильного приложения информационного портала о туристических и культурных достопримечательностях Мурманской области
</t>
  </si>
  <si>
    <t>Государственная программа 15. "Финансы"</t>
  </si>
  <si>
    <t xml:space="preserve">Доля выполненных муниципальными районами (муниципальными округами, городскими округами) обязательств, установленных соглашениями о мерах по социально-экономическому развитию и оздоровлению муниципальных финансов
</t>
  </si>
  <si>
    <t xml:space="preserve">Среднее значение сводного рейтинга главных администраторов средств областного бюджета по итогам оценки качества финансового менеджмента
</t>
  </si>
  <si>
    <t xml:space="preserve">Степень достижения максимально возможного количества баллов, набранных в ходе проведения мониторинга и составления рейтинга субъектов Российской Федерации по уровню открытости бюджетных данных
</t>
  </si>
  <si>
    <t xml:space="preserve">Доля просроченной кредиторской задолженности в расходах консолидированного бюджета Мурманской области
</t>
  </si>
  <si>
    <t>Темп роста расчетной бюджетной обеспеченности по 5 наименее обеспеченным муниципальным образованиям (к уровню 2013 года)</t>
  </si>
  <si>
    <t>Отсутствие просроченной кредиторской задолженности по расходам на оплату труда работников муниципальных учреждений при выполнении полномочий органов местного самоуправления по вопросам местного значения</t>
  </si>
  <si>
    <t xml:space="preserve">Снижение просроченной кредиторской задолженности местных бюджетов по состоянию на 1 января года, следующего за отчетным, в соответствии с Соглашением о мерах по восстановлению платежеспособности муниципального образования
</t>
  </si>
  <si>
    <t xml:space="preserve">Количество муниципальных образований, имеющих высокое и надлежащее качество управления муниципальными финансами
</t>
  </si>
  <si>
    <t>Подпрограмма 3. "Организация и осуществление контроля и надзора в бюджетно-финансовой сфере и в сфере закупок товаров, работ, услуг для государственных и муниципальных нужд"</t>
  </si>
  <si>
    <t xml:space="preserve">
Эффективность осуществления контрольных мероприятий в финансово-бюджетной сфере
</t>
  </si>
  <si>
    <t xml:space="preserve">Эффективность контроля за соблюдением законодательства Российской Федерации и иных нормативных правовых актов о контрактной системе в сфере закупок товаров, работ, услуг для обеспечения государственных и муниципальных нужд
</t>
  </si>
  <si>
    <t>Подпрограмма 4. "Развитие системы управления государственными закупками Мурманской области, закупками отдельных видов юридических лиц"</t>
  </si>
  <si>
    <t>Среднее количество участников в конкурентных закупках</t>
  </si>
  <si>
    <t>Экономия бюджетных средств по закупкам товаров, работ, услуг, осуществленным на региональной электронной площадке</t>
  </si>
  <si>
    <t>Доля состоявшихся совместных закупок учреждений здравоохранения, осуществленных конкурентными способами, в общем объеме состоявшихся закупок данных учреждений, осуществленных конкурентными способами</t>
  </si>
  <si>
    <t>Доля закупок, осуществленных конкурентными способами, в общем объеме осуществленных закупок</t>
  </si>
  <si>
    <t>Комитет по конкурентной политике МО</t>
  </si>
  <si>
    <t>Доля вакантных должностей государственной гражданской службы региона, замещенных на основе назначения из кадрового резерва на гражданской службе и по результатам конкурса</t>
  </si>
  <si>
    <t xml:space="preserve">Доля граждан, получивших бесплатную юридическую помощь в рамках государственной системы бесплатной юридической помощи, от общего количества граждан, обратившихся  к адвокатам за получением бесплатной юридической помощи </t>
  </si>
  <si>
    <t>Доля деперсонифицированных судебных актов, опубликованных на официальных сайтах мировых судей Мурманской области, от общего числа подлежащих обязательному опубликованию</t>
  </si>
  <si>
    <t>Доля объектов недвижимого имущества Мурманской области, закрепленных  за областными организациями, вовлеченных  в хозяйственный оборот в отчетном году, в общем количестве объектов недвижимого  имущества, не задействованных при осуществлении  региональных  полномочий, согласно поступившим обращениям</t>
  </si>
  <si>
    <t>Доля площади земельных  участков, вовлеченных в хозяйственный оборот, в общей площади Мурманской области</t>
  </si>
  <si>
    <t>Доля административных комиссий, проверенных на предмет исполнения местными администрациями государственных полномочий по организационному обеспечению деятельности административных комиссий, от общего числа образованных административных комиссий</t>
  </si>
  <si>
    <t>Доля официальных мероприятий, проведенных без обоснованных замечаний по качеству подготовки в адрес Аппарата Правительства Мурманской области, в общем количестве проведенных мероприятий</t>
  </si>
  <si>
    <t>Министерство юстиции МО</t>
  </si>
  <si>
    <t>Доля объектов недвижимого  имущества, сведения о которых учтены в реестре государственного имущества Мурманской области</t>
  </si>
  <si>
    <t>Доля государственных областных  унитарных  предприятий и хозяйственных  обществ, в уставном капитале которых доля участия РФ и Мурманской области в совокупности превышает 50%, в отношении которых приняты ключевые показатели эффективности для оценки работы менеджмента, от общего количества государственных областных  унитарных  предприятий и хозяйственных  обществ, осуществляющих хозяйственную деятельность</t>
  </si>
  <si>
    <t>Доля земельных  участков, в отношении которых проведена актуализация государственной кадастровой  оценки, в общем количестве земельных  участков, подлежащих государственной кадастровой оценке</t>
  </si>
  <si>
    <t>Количество земельных  участков, в отношении которых осуществлена государственная регистрация права государственной собственности Мурманской области</t>
  </si>
  <si>
    <t xml:space="preserve">Доля объектов казны Мурманской области, вовлеченных в хозяйственный оборот в отчетном году, в общем количестве объектов казны на конец года (без учета земельных участков) </t>
  </si>
  <si>
    <t xml:space="preserve">Количество государственных  областных унитарных предприятий и акционерных  обществ, акции (доли) которых  находятся в областной собственности, осуществляющих уставную  деятельность </t>
  </si>
  <si>
    <t>Подпрограмма 3. "Укрепление единства российской нации, развитие гражданского общества и сохранение  этнокультурного многообразия  в Мурманской области"</t>
  </si>
  <si>
    <t xml:space="preserve">Доля граждан, удовлетворенных качеством реализуемых мероприятий, направленных на укрепление общероссийской идентичности граждан в Мурманской области, от общего числа опрошенных лиц </t>
  </si>
  <si>
    <t>Доля граждан, положительно оценивающих состояние межнациональных отношений, в общей численности опрошенных граждан региона</t>
  </si>
  <si>
    <t>Доля граждан из числа КМНС, удовлетворенных качеством реализуемых мероприятий, направленных на поддержку экономического и социального развития КМНС, от общего числа опрошенных лиц, относящихся к КМНС</t>
  </si>
  <si>
    <t>Доля молодых людей, вовлеченных в мероприятия, направленные на повышение гражданской активности молодежи, в общей численности молодежи в возрасте от 14 до 35 лет</t>
  </si>
  <si>
    <t>Подпрограмма 4. "Развитие института мировой юстиции в Мурманской области"</t>
  </si>
  <si>
    <t>Доля мировых судей, положительно оценивающих уровень материально-технического и информационно-технологического обеспечения судебных участков мировых судей Мурманской области</t>
  </si>
  <si>
    <t>Подпрограмма 5. "Создание условий для позиционирования Мурманской области как ключевой территории опережающего развития в Арктической зоне Российской Федерации и повышения информационной открытости исполнительных органов государственной власти Мурманской области"</t>
  </si>
  <si>
    <t xml:space="preserve">Обеспечена реализация приоритетных мероприятий </t>
  </si>
  <si>
    <t>(да - 1/ нет - 0)</t>
  </si>
  <si>
    <t>Доля граждан, проживающих на территории Мурманской области, удовлетворенных информационной открытостью исполнительных органов государственной власти Мурманской области, в общей численности опрошенных граждан</t>
  </si>
  <si>
    <t>Министерство информационной политики Мурманской области</t>
  </si>
  <si>
    <t xml:space="preserve">Министерство информационной политики Мурманской области </t>
  </si>
  <si>
    <t>Государственная программа 7. "Комфортное жилье и городская среда"</t>
  </si>
  <si>
    <t>Объем жилищного строительства в год</t>
  </si>
  <si>
    <t xml:space="preserve">Количество семей, улучшивших жилищные условия
</t>
  </si>
  <si>
    <t>тыс.семей</t>
  </si>
  <si>
    <t xml:space="preserve">Количество граждан, улучшивших жилищные условия в результате капитального ремонта МКД
</t>
  </si>
  <si>
    <t xml:space="preserve">чел
</t>
  </si>
  <si>
    <t>Доля компенсированных недополученных доходов от общего объема недополученных доходов, заявленного ресурсоснабжающими организациями</t>
  </si>
  <si>
    <t>Подпрограмма 1. "Жилье"</t>
  </si>
  <si>
    <t>Количество отчетов по мониторингу стоимости строительных ресурсов</t>
  </si>
  <si>
    <t>ед</t>
  </si>
  <si>
    <t>Доля ветеранов ВОВ, инвалидов и семей, имеющих детей-инвалидов,  улучшивших жилищные условия, в общей численности указанных категорий граждан, вставших на учет в качестве нуждающихся в органах местного самоуправления (нарастающим итогом)</t>
  </si>
  <si>
    <t xml:space="preserve">Количество многодетных семей, получивших единовременную денежную выплату на улучшение жилищных условий взамен земельного участка
</t>
  </si>
  <si>
    <t xml:space="preserve">Количество земельных участков, в отношении которых проведены мероприятия по обеспечению объектами коммунальной и дорожной инфраструктуры
</t>
  </si>
  <si>
    <t>Подпрограмма 2. "Формирование комфортной городской среды"</t>
  </si>
  <si>
    <t>шт.</t>
  </si>
  <si>
    <t>7.2.3</t>
  </si>
  <si>
    <t>7.2.6</t>
  </si>
  <si>
    <t>Подпрограмма 3. "Сокращение непригодного для проживания жилищного фонда"</t>
  </si>
  <si>
    <t>7.3.1</t>
  </si>
  <si>
    <t>7.3.2</t>
  </si>
  <si>
    <t>7.3.6</t>
  </si>
  <si>
    <t>Количество перерывов в подаче воды, возникших в результате аварий на объектах системы водоснабжения, в расчете на протяженность водопроводной сети</t>
  </si>
  <si>
    <t>ед./на 1 км</t>
  </si>
  <si>
    <t>кгут/10 тыс. руб.</t>
  </si>
  <si>
    <t>7.4.2.1</t>
  </si>
  <si>
    <t>7.4.2.2</t>
  </si>
  <si>
    <t>7.4.2.3</t>
  </si>
  <si>
    <t>Минэнерго и ЖКХ</t>
  </si>
  <si>
    <t xml:space="preserve">5.1 Доля обращений граждан в адрес ГЖИ по вопросам качества предоставления коммунальных услуг, аварий на инженерных сетях, протечки кровель, подтопления подвалов и разрушения конструктивных элементов многоквартирных домов       </t>
  </si>
  <si>
    <t xml:space="preserve">5.2. Снижение количества проверок по обращениям граждан, проводимых Государственной жилищной инспекцией Мурманской области  по вопросам качества предоставления коммунальных услуг, аварий на инженерных сетях, протечки кровель, подтопления подвалов и разрушения конструктивных элементов многоквартирных домов
</t>
  </si>
  <si>
    <t>Подпрограмма 1. "Развитие массового спорта, реализация мероприятий по информированию граждан"</t>
  </si>
  <si>
    <t>Подпрограмма 2. "Подготовка спортивного резерва, реализация календарного плана официальных физкультурных мероприятий и спортивных мероприятий Мурманской области"</t>
  </si>
  <si>
    <t>Численность спортсменов МО, включенных в список кандидатов в спортивные сборные команды Российской Федерации</t>
  </si>
  <si>
    <t>Доля спортсменов-разрядников в общем количестве лиц, занимающихся в системе спортивных школ олимпийского резерва</t>
  </si>
  <si>
    <t>7.5.1</t>
  </si>
  <si>
    <t>7.5.2</t>
  </si>
  <si>
    <t>Доля площади Мурманской области, занятая особо охраняемыми природными территориями федерального, регионального и местного значения</t>
  </si>
  <si>
    <t>Доля водохозяйственных участков, класс качества которых (по индексу загрязнения) повысился, в общем количестве водохозяйственных участков, расположенных на территории Мурманской области</t>
  </si>
  <si>
    <t>Доля площади Мурманской области, на которой ликвидирован накопленный вред окружающей среде (экологический ущерб)</t>
  </si>
  <si>
    <t>Доля твердых коммунальных отходов, направленных на обработку(сортировку), в общей массе образованных твердых коммунальных отходов</t>
  </si>
  <si>
    <r>
      <t xml:space="preserve">ö </t>
    </r>
    <r>
      <rPr>
        <b/>
        <sz val="10"/>
        <rFont val="Times New Roman"/>
        <family val="1"/>
        <charset val="204"/>
      </rPr>
      <t>=</t>
    </r>
  </si>
  <si>
    <t>Доля редких и исчезающих объектов растительного и животного мира, подлежащих обследованию для переиздания Красной книги Мурманской области</t>
  </si>
  <si>
    <t>Доля населения области, охваченного информационно-просветительскими мероприятиями экологической направленности</t>
  </si>
  <si>
    <t>Отношение площади лесовосстановления и лесоразведения к площади вырубленных и погибших лесных насаждений</t>
  </si>
  <si>
    <t>Отношение фактического объема заготовки древесины к установленному допустимому объему изъятия древесины</t>
  </si>
  <si>
    <t>Заключение новых договоров аренды</t>
  </si>
  <si>
    <t>Отклонение значения показателя объясняется слабо развитой дорожной сетью, малодоступными участками, небольшим объемом заготовки</t>
  </si>
  <si>
    <t>Необходимо финансирование из бюджета санитарно-оздоровительных мероприятий</t>
  </si>
  <si>
    <t>Протяженность вынесенных в натуру водоохранных зон и прибрежных защитных полос водных объектов</t>
  </si>
  <si>
    <t>Количество подготовленной геологической информации о состоянии минерально-сырьевой базы общераспространенных полезных ископаемых</t>
  </si>
  <si>
    <t>Протяженность участков очищенной прибрежной полосы водных объектов (нарастающим итогом)</t>
  </si>
  <si>
    <t>Количество населения Мурманской области, вовлеченного в мероприятия по очистке берегов водных объектов (нарастающим итогом)</t>
  </si>
  <si>
    <t xml:space="preserve">тыс. чел.
</t>
  </si>
  <si>
    <t>Доля разработанных электронных моделей</t>
  </si>
  <si>
    <t>Доля твердых коммунальных отходов, направленных на утилизацию, выделенных в результате раздельного накопления и обработки (сортировки) твердых коммунальных отходов, в общей массе образованных твердых коммунальных отходов</t>
  </si>
  <si>
    <t>Доля населения, охваченного услугой по обращению с твердыми коммунальными отходами</t>
  </si>
  <si>
    <t>Доля площади Мурманской области, охваченной мониторингом объектов накопленного вреда окружающей среде (накопленного экологического ущерба), в общей площади территории Мурманской области</t>
  </si>
  <si>
    <t>Обеспеченность объектов накопленного вреда окружающей среде (накопленного экологического ущерба) проектно-сметной документацией на их ликвидацию</t>
  </si>
  <si>
    <t xml:space="preserve">Закуплены контейнеры для раздельного накопления твердых коммунальных отходов, устанавливаемые на контейнерные площадки, включенные в реестр мест (площадок) накопления твердых коммунальных отходов </t>
  </si>
  <si>
    <t>Минэнерго и ЖКХ МО</t>
  </si>
  <si>
    <t>Минэнерго и ЖКХ МО, Минприроды МО</t>
  </si>
  <si>
    <t>Государственная программа 11. "Рыбное и сельское хозяйство"</t>
  </si>
  <si>
    <t>Индекс производства по виду экономической деятельности "Переработка и консервирование рыбы, ракообразных и моллюсков"</t>
  </si>
  <si>
    <t>тонн</t>
  </si>
  <si>
    <t>Доля застрахованного объема производства объектов товарной аквакультуры (товарного рыбоводства) в общем объеме производства объектов товарной аквакультуры (товарного рыбоводства)</t>
  </si>
  <si>
    <t>Протяженность береговой полосы водных объектов рыбохозяйственного значения, на которой выполнены рыбохозяйственные мероприятия</t>
  </si>
  <si>
    <t xml:space="preserve">тыс. экземпляров
</t>
  </si>
  <si>
    <t>млн. долларов</t>
  </si>
  <si>
    <t>Объем предоставленных в пользование водных биологических ресурсов в рамках региональных полномочий</t>
  </si>
  <si>
    <t>Объем рыбной продукции, реализованной населению в рамках проекта "Наша рыба"</t>
  </si>
  <si>
    <t>11.2.4</t>
  </si>
  <si>
    <t>11.2.5</t>
  </si>
  <si>
    <t>11.2.6</t>
  </si>
  <si>
    <t>11.2.7</t>
  </si>
  <si>
    <t>Подпрограмма 3. "Обеспечение эпизоотического благополучия региона и защиты населения от болезней, общих для человека и животных"</t>
  </si>
  <si>
    <t>Число случаев возникновения очагов особо опасных болезней животных</t>
  </si>
  <si>
    <t>Число случаев возникновения заразных болезней животных</t>
  </si>
  <si>
    <t>Доля устраненных нарушений обязательных требований в области обращения с животными</t>
  </si>
  <si>
    <t>Подпрограмма 5. "Комплексное развитие сельских территорий Мурманской области"</t>
  </si>
  <si>
    <t>Государственная программа 13. "Экономический потенциал"</t>
  </si>
  <si>
    <t>Индекс промышленного производства</t>
  </si>
  <si>
    <t>Объем инвестиций в основной капитал (без бюджетных средств)</t>
  </si>
  <si>
    <t>млрд рублей</t>
  </si>
  <si>
    <t>Объем платных услуг, оказанных населению в сфере туризма (включая туристские услуги, услуги гостиниц и аналогичных средств размещения, санаторно-оздоровительных организаций)</t>
  </si>
  <si>
    <t>Министерство развития Арктики и экономики МО</t>
  </si>
  <si>
    <t>Подпрограмма 1. "Создание условий для привлечения инвестиций, развития и модернизации промышленного комплекса, повышения конкурентоспособности производства (деятельности)"</t>
  </si>
  <si>
    <t>Коэффициент бюджетной эффективности от предоставленных налоговых льгот в рамках соглашений с компаниями о защите и поощрении капитальных вложений, о государственной поддержке инвестиционной деятельности, СПИК не менее 1 (1 рубль налоговых и неналоговых поступлений в консолидированный бюджет региона от реализуемых инвестиционных проектов на 1 рубль предоставленных налоговых льгот)</t>
  </si>
  <si>
    <t>Количество заключенных соглашений (дополнительных соглашений) с компаниями о защите и поощрении капитальных вложений, о государственной поддержке инвестиционной деятельности (нарастающим итогом к 2019 году)</t>
  </si>
  <si>
    <t>Количество резидентов Арктической зоны Российской Федерации и территории опережающего социально-экономического развития "Столица Арктики" (нарастающим итогом с 2020 года)</t>
  </si>
  <si>
    <t>Объем инвестиций, привлеченных резидентами Арктической зоны Российской Федерации и территории опережающего социально-экономического развития "Столица Арктики" (нарастающим итогом с 2020 года)</t>
  </si>
  <si>
    <t>Количество созданных рабочих мест резидентами Арктической зоны Российской Федерации и территории опережающего социально-экономического развития "Столица Арктики" (нарастающим итогом с 2020 года)</t>
  </si>
  <si>
    <t>место</t>
  </si>
  <si>
    <t>13.1.5</t>
  </si>
  <si>
    <t>Количество самозанятых граждан, зафиксировавших свой статус и применяющих специальный налоговый режим "Налог на профессиональный доход" (НПД) (накопительным итогом)</t>
  </si>
  <si>
    <t xml:space="preserve">Специальный налоговый режим для самозанятых граждан является привлекательным налоговым режимом и находится в активной фазе применения </t>
  </si>
  <si>
    <t>Подпрограмма 3. "Развитие туризма"</t>
  </si>
  <si>
    <t>Объем туристского потока в Мурманской области</t>
  </si>
  <si>
    <t>Подпрограмма 4. "Развитие международных и внешнеэкономических связей, приграничного, межрегионального сотрудничества"</t>
  </si>
  <si>
    <t xml:space="preserve">Внедрен и реализуется Региональный экспортный стандарт 2.0 </t>
  </si>
  <si>
    <t>Количество приоритетных с точки зрения экономики региона мероприятий регионального, межрегионального и международного значения на территории региона и Российской Федерации, а также за рубежом</t>
  </si>
  <si>
    <t>Доля экспорта товаров в объеме внешнеторгового оборота не менее 90 %</t>
  </si>
  <si>
    <t>0 - нет, 1 - да</t>
  </si>
  <si>
    <t xml:space="preserve"> - значение показателя по сравнению с 2020 годом улучшилось не менее чем на 1%</t>
  </si>
  <si>
    <t xml:space="preserve"> - значение показателя на уровне 2020 года (динамика значений в интервале от 99% до 101% к 2020 году)</t>
  </si>
  <si>
    <t xml:space="preserve"> - значение показателя по сравнению с 2020 годом ухудшилось более чем на 1%</t>
  </si>
  <si>
    <t>7.1.11</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</si>
  <si>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нарастающим итогом</t>
  </si>
  <si>
    <t>7.4.2.4</t>
  </si>
  <si>
    <t>7.4.2.5</t>
  </si>
  <si>
    <t>Количество аварий, срок устранения которых превышает 24 часа</t>
  </si>
  <si>
    <t>кол-во</t>
  </si>
  <si>
    <t>руб.</t>
  </si>
  <si>
    <t>Государственная программа Мурманской области "Здравоохранение"</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</si>
  <si>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</si>
  <si>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Подпрограмма 7. "Управление системой здравоохранения, включая обеспечение реализации государственной программы"</t>
  </si>
  <si>
    <t>Подпрограмма 1. Модернизация системы социальной защиты населения Мурманской области</t>
  </si>
  <si>
    <t>Подпрограмма 3. Оказание мер социальной поддержки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</si>
  <si>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Подпрограмма 1 "Развитие массового спорта, реализация мероприятий по информированию граждан"</t>
  </si>
  <si>
    <t>Подпрограмма 2 "Подготовка спортивного резерва", реализация спортивного плана  официальныз спортивных меропиятий и спорт.мероприятий Мурманской области</t>
  </si>
  <si>
    <t>Подпрограмма 3 "Развитие спортивной инфраструктуры"</t>
  </si>
  <si>
    <t>Министерство спорта МО</t>
  </si>
  <si>
    <t>Государственная программа Мурманской области "Культура"</t>
  </si>
  <si>
    <t>Подпрограмма 2 «Модернизация системы государственных и муниципальных библиотек  и развитие литературного творчества в Мурманской области»</t>
  </si>
  <si>
    <t>Подпрограмма 3 «Развитие искусства, творческого потенциала и организация досуга населения»</t>
  </si>
  <si>
    <t>Подпрограмма 4 «Обеспечение реализации государственной программы»</t>
  </si>
  <si>
    <t>Подпрограмма 1 «Содействие занятости населения Мурманской области»</t>
  </si>
  <si>
    <t>Подпрограмма 2 «Оказание содействия добровольному переселению в Мурманскую область соотечественников, проживающих за рубежом»</t>
  </si>
  <si>
    <t>Подпрограмма 3 «Улучшение условий и охраны труда в Мурманской области»</t>
  </si>
  <si>
    <t>Подпрограмма 1. «Жилье»</t>
  </si>
  <si>
    <t>Подпрограмма 2 «Формирование комфортной городской среды»</t>
  </si>
  <si>
    <t>Подпрограмма 3 «Сокращение непригодного для проживания жилищного фонда»</t>
  </si>
  <si>
    <t>Подпрограмма 5 «Обеспечение осуществления государственного контроля (надзора) в жилищно-коммунальной сфере»</t>
  </si>
  <si>
    <t>Подпрограмма 1 «Профилактика правонарушений»</t>
  </si>
  <si>
    <t>Подпрограмма 2 «Обеспечение пожарной безопасности»</t>
  </si>
  <si>
    <t>Подпрограмма 3 «Обеспечение защиты населения и территорий от чрезвычайных ситуаций»</t>
  </si>
  <si>
    <t>Подпрограмма 4 "Обеспечение реализации государственной программы"</t>
  </si>
  <si>
    <t>МПР МО, предприятия и организации АПК, КФХ, кооперативы</t>
  </si>
  <si>
    <t>Подпрограмма 2 «Развитие рыбохозяйственного комплекса»</t>
  </si>
  <si>
    <t>Подпрограмма 3 "Обеспечение эпизоотического благополучия региона и защиты населения от болезней, общих для человека и животных"</t>
  </si>
  <si>
    <t>Подпрограмма 4 «Обеспечение эффективности деятельности исполнительных органов государственной власти Мурманской области в сфере реализации государственной программы»</t>
  </si>
  <si>
    <t xml:space="preserve">Комитет по ветеринарии МО      </t>
  </si>
  <si>
    <t>Подпрограмма 1 "Автомобильные дороги Мурманской области"</t>
  </si>
  <si>
    <t>Подпрограмма 2 "Организация транспортного обслуживания населения на территории Мурманской области"</t>
  </si>
  <si>
    <t>Государственная программа Мурманской области "Экономический потенциал"</t>
  </si>
  <si>
    <t>Подпрограмма 1. Создание условий для привлечения инвестиций, развития и модернизации промышленного комплекса, повышения конкурентоспособности производства (деятельности)</t>
  </si>
  <si>
    <t xml:space="preserve">Государственная программа Мурманской области "Информационное общество" </t>
  </si>
  <si>
    <t>Подпрограмма 1 "Развитие информационного общества и  внедрение цифровых технологий"</t>
  </si>
  <si>
    <t>Подпрограмма 2 "Цифровая трансформация форматов взаимодействия населения Мурманской области и  исполнительных органов государственной власти, и органов местного самоуправления Мурманской области"</t>
  </si>
  <si>
    <t>Подпрограмма 1 «Управление региональными финансами»</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</si>
  <si>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</si>
  <si>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Подпрограмма 3 «Организация и осуществление контроля и надзора в бюджетно-финансовой сфере и в сфере закупок товаров, работ, услуг для государственных и муниципальных нужд»</t>
  </si>
  <si>
    <t>Подпрограмма 4 «Развитие системы управления государственными закупками Мурманской области, закупками отдельных видов юридических лиц»</t>
  </si>
  <si>
    <t>Подпрограмма 1 "Создание условий для обеспечения государственного управления"</t>
  </si>
  <si>
    <t>Подпрограмма 2 "Управление государственным имуществом Мурманской области"</t>
  </si>
  <si>
    <t>Подпрограмма 3 «Укрепление единства российской нации, развитие гражданского общества и сохранение  этнокультурного многообразия  в Мурманской области»</t>
  </si>
  <si>
    <t>Подпрограмма 4 "Развитие института мировой юстиции в Мурманской области"</t>
  </si>
  <si>
    <t xml:space="preserve">Подпрограмма 5 «Создание условий для позиционирования  Мурманской области как ключевой территории опережающего развития в Арктической зоне Российской Федерации и повышения информационной открытости исполнительных органов государственной власти Мурманской области» </t>
  </si>
  <si>
    <t>9.4</t>
  </si>
  <si>
    <t>Подпрограмма 1 "Развитие агропромышленного комплекса"</t>
  </si>
  <si>
    <t>Подпрограмма "Развитие дошкольного и общего образования"</t>
  </si>
  <si>
    <t>Школа по улице Советская в городе Мурманске</t>
  </si>
  <si>
    <t>Министерство строительства Мурманской области, АМО г. Мурманск</t>
  </si>
  <si>
    <t>Школа по переулку Казарменному в городе Мурманске</t>
  </si>
  <si>
    <t xml:space="preserve">Административно-спортивный комплекс специализированной детско-юношеской спортивной школы олимпийского резерва по горнолыжному спорту в г. Кировске
</t>
  </si>
  <si>
    <t>2014
(разработка ПСД, экспертиза),
2018 - 2020
(строительство)</t>
  </si>
  <si>
    <t>Минстрой МО, ГОКУ «УКС МО»</t>
  </si>
  <si>
    <t>Лыжная база в городе Полярные Зори Мурманской области</t>
  </si>
  <si>
    <t>Государственная программа "Культура"</t>
  </si>
  <si>
    <t>Подпрограмма "Жилье"</t>
  </si>
  <si>
    <t>Подпрограмма "Формирование комфортной городской среды"</t>
  </si>
  <si>
    <t>Минстрой МО,
Кандалакшский район</t>
  </si>
  <si>
    <t>Минстрой МО,
МО г. Мончегорск с п.т.</t>
  </si>
  <si>
    <t>Жилой дом в г.п. Умба
Терского района Мурманской области</t>
  </si>
  <si>
    <t>Жилой дом в г. Мурманске по ул. Павлова</t>
  </si>
  <si>
    <t>Жилой дом в г.п. Зеленоборский
Кандалакшского района Мурманской области</t>
  </si>
  <si>
    <t>Комплексная модернизация завода термической обработки твердых бытовых отходов в г. Мурманск (АО "Завод ТО ТБО")</t>
  </si>
  <si>
    <t xml:space="preserve">Министерство энергетики и жилищно-коммунального хозяйства Мурманской области, АО "Завод ТО ТБО"
</t>
  </si>
  <si>
    <t xml:space="preserve">842785,98
</t>
  </si>
  <si>
    <t>Минтранс МО</t>
  </si>
  <si>
    <t>Государственная программа Мурманской области "Природные ресурсы и экология"</t>
  </si>
  <si>
    <t>1.1.</t>
  </si>
  <si>
    <t>1.2.</t>
  </si>
  <si>
    <t>1.3.</t>
  </si>
  <si>
    <t>1.4.</t>
  </si>
  <si>
    <t>1.5.</t>
  </si>
  <si>
    <t>1.6.</t>
  </si>
  <si>
    <t>Государственная программа Мурманской области "Здравоохранение" (Минздрав МО)</t>
  </si>
  <si>
    <t>Государственная программа Мурманской области"Образование и наука" (Минобр МО)</t>
  </si>
  <si>
    <t>Государственная программа Мурманской области "Физическая культура и спорт"  (Минспорт МО)</t>
  </si>
  <si>
    <t>Государственная программа Мурманской области "Культура" (Минкульт МО)</t>
  </si>
  <si>
    <t>Государственная программа Мурманской области "Природные ресурсы и экология" (Минприроды МО)</t>
  </si>
  <si>
    <t>Государственная программа Мурманской области "Развитие транспортной системы" (Минтранс МО)</t>
  </si>
  <si>
    <t>Государственная программа Мурманской области "Экономический потенциал" (МинАрктики МО)</t>
  </si>
  <si>
    <t xml:space="preserve">Государственная программа Мурманской области "Информационное общество" (Минцифра МО) </t>
  </si>
  <si>
    <t>Не прогнозируемое увеличение числа пациентов, нуждающихся в санитарной эвакуации</t>
  </si>
  <si>
    <t>Доля твердых коммунальных отходов, направленных на захоронение, в том числе прошедших обработку (сортировку) в общей массе образованных твердых коммунальных отходов, убывающий</t>
  </si>
  <si>
    <t>Подпрограмма 2. "Развитие рыб хозяйственного комплекса"</t>
  </si>
  <si>
    <t>Государственная программа Мурманской области "Образование и наука"</t>
  </si>
  <si>
    <t>Министерство спорта МО и подведомственные Минспорту МО организации</t>
  </si>
  <si>
    <t>Достижение Мурманской областью категории кредитного рейтинга по национальной шкале для Российской Федерации не ниже категории "А"</t>
  </si>
  <si>
    <t>Отношение дефицита областного бюджета к общему годовому объему доходов областного бюджета без учета объема безвозмездных поступлений в отчетном финансовом году</t>
  </si>
  <si>
    <t>Степень качества управления региональными финансами, присвоенная Мурманской области Министерством финансов Российской Федерации</t>
  </si>
  <si>
    <t xml:space="preserve">Подпрограмма 3. Развитие туризма </t>
  </si>
  <si>
    <t>Подпрограмма 5. Обеспечение реализации государственной программы</t>
  </si>
  <si>
    <t>Отношение объема государственного долга Мурманской области по состоянию на 1 января года, следующего за отчетным, к общему годовому объему доходов бюджета Мурманской области в отчетном финансовом году (без учета объемов безвозмездных поступлений)</t>
  </si>
  <si>
    <t>Государственная программа Мурманской области "Социальная поддержка"</t>
  </si>
  <si>
    <t>Государственная программа Мурманской области "Физическая культура и спорт"</t>
  </si>
  <si>
    <t>Государственная программа Мурманской области "Занятость и труд"</t>
  </si>
  <si>
    <t>Государственная программа Мурманской области "Комфортное жилье и городская среда"</t>
  </si>
  <si>
    <t>Государственная программа Мурманской области "Общественная безопасность"</t>
  </si>
  <si>
    <t xml:space="preserve">Государственная программа Мурманской области "Рыбное и сельское хозяйство"
</t>
  </si>
  <si>
    <t>Государственная программа Мурманской области  "Финансы"</t>
  </si>
  <si>
    <t>Государственная программа Мурманской области "Социальная поддержка" (Министерство труда и соцразвития МО)</t>
  </si>
  <si>
    <t>Государственная программа Мурманской области "Занятость и труд" (Министерство труда и соцразвития МО)</t>
  </si>
  <si>
    <t>Государственная программа Мурманской области "Комфортное жилье и городская среда" (Минстрой МО)</t>
  </si>
  <si>
    <t>Государственная программа Мурманской области "Формирование современной городской среды Мурманской области" (Минград МО)</t>
  </si>
  <si>
    <t>Государственная программа Мурманской области "Общественная безопасность" (Комитет ОБН МО)</t>
  </si>
  <si>
    <t>Государственная программа Мурманской области "Рыбное и сельское хозяйство" (Минприроды МО)</t>
  </si>
  <si>
    <t>Государственная программа Мурманской области  "Финансы" (Минфин МО)</t>
  </si>
  <si>
    <t>Государственная программа Мурманской области "Государственное управление и гражданское общество" (Аппарат ПМО)</t>
  </si>
  <si>
    <t xml:space="preserve">Активизация инвесторов по запуску инвестиционных проектов и получению статуса резидента АЗРФ и ТОР, опережающий рост инвестиций
</t>
  </si>
  <si>
    <t xml:space="preserve">Активизация инвесторов по запуску инвестиционных проектов и получению статуса резидента АЗРФ и ТОР, опережающий рост создания новых рабочих мест
</t>
  </si>
  <si>
    <t>Интегральный индекс Мурманской области в Национальном рейтинге состояния инвестиционного климата в субъектах Российской Федерации (нарастающим итогом с 2020 года)</t>
  </si>
  <si>
    <t>Доля субъектов малого и среднего предпринимательства и самозанятых граждан в общей численности занятого населения</t>
  </si>
  <si>
    <t>Темп роста оборота продукции (услуг), производимых средними и малыми предприятиями, в том числе микропредприятиями и индивидуальными предпринимателями</t>
  </si>
  <si>
    <t>Количество общественных инициатив, направленных на развитие туризма</t>
  </si>
  <si>
    <t>Подпрограмма 4. Развитие международных и внешнеэкономических связей, приграничного, межрегионального сотрудничества</t>
  </si>
  <si>
    <t>Доля граждан, охваченных государственной социальной помощью на основании социального контракта, в общей численности малоимущих граждан</t>
  </si>
  <si>
    <t xml:space="preserve">Причиной перевыполнения плана является увеличение численности граждан, желающих осуществлять социальный патронат над детьми, проживающими в семьях, находящихся в трудной жизненной ситуации. В целях подготовки граждан, осуществляющих социальный патронат, их привлечения к данной работе органами опеки и попечительства проводятся консультации, рабочие встречи, размещена информация на сайтах органов местного самоуправления. </t>
  </si>
  <si>
    <t>Министерство труда и социального развития МО, государственные областные учреждения, подведомственные Министерству труда и социального развития МО, Министерство строительства МО, ГОКУ "Управление капитального строительства Мурманской области"</t>
  </si>
  <si>
    <t>Министерство труда и социального развития МО, Министерство здравоохранения МО, Министерство культуры МО, государственные областные учреждения, подведомственные Министерству труда и социального развития МО, государственные областные учреждения культуры МО, ГОАУК "Мурманский областной Дворец культуры им. С.М. Кирова", государственные областные учреждения здравоохранения, Территориальный фонд обязательного медицинского страхования Мурманской области</t>
  </si>
  <si>
    <t xml:space="preserve">Министерство образования и науки МО, Министерство культуры МО, органы местного самоуправления, ГОБУ МО "Центр психолого-педагогической, медицинской и социальной помощи", ГАУДО МО "МОЦДО "Лапландия", центры помощи детям, оставшимся без попечения родителей, ГАПОУ МО, ГОБПОУ "Мурманский колледж искусств"  </t>
  </si>
  <si>
    <t xml:space="preserve">Министерство труда и социального развития МО; государственные областные учреждения, подведомственные Министерству труда и социального развития МО </t>
  </si>
  <si>
    <t>Министерство труда и социального развития МО, Министерство строительства МО, Министерство здравоохранения МО, Министерство образования и науки МО, Министерство культуры МО</t>
  </si>
  <si>
    <t>Большинство мероприятий по предоставлению мер поддержки не выполнены или выполнены частично в связи с их заявительным характером. Фактические затраты по ВБС превысили плановые объемы финансирования в связи с увеличением численности женщин, нуждающихся в ЭКО, а также в связи с увеличение численности граждан, нуждающихся в медицинской помощи по профилю "гериатрия"</t>
  </si>
  <si>
    <t>Министерство культуры МО; государственные областные учреждения культуры и искусства, образования в сфере культуры и искусства</t>
  </si>
  <si>
    <t>Оценка эффективности реализации государственных программ Мурманской области в 2022 году</t>
  </si>
  <si>
    <t>Динамика значений показателей по сравнению с 2021 годом</t>
  </si>
  <si>
    <t>2013-2016 гг. разработка ПСД;
2016 г.- экспертиза;
2014, 2016 гг. - техническое присоединение (подводка наружных инженерных сетей);
2019-2021 гг.- строительство; 
2022 - 2023 гг. - завершение реконструкции, приобретение оборудования и ввод в эксплуатацию</t>
  </si>
  <si>
    <t>Реконструкция здания МБУК "Дворец культуры "Восход" по адресу Мурманская обл. п. Никель, ул. Октябрьская № 1</t>
  </si>
  <si>
    <t>Реконструкция объекта культурного наследия регионального значения «Здание первого хибиногорского кинотеатра «Большевик» в городе Кировске в целях приспособления для современного использования в качестве кино-культурного центра</t>
  </si>
  <si>
    <t>Министерство строительства  МО, администрация муниципального образования муниципальный округ г. Кировск с подведомственной территорией</t>
  </si>
  <si>
    <t>Министерство строительства Мурманской области; ГОКУ «Управление капитального строительства Мурманской области»; ГОАУК «Мурманский областной Дворец культуры и народного творчества им. С.М. Кирова»</t>
  </si>
  <si>
    <t>Министерство труда и социального развития МО, Министерство здравоохранения МО, ГОБУ ЦЗН г. Мурманска</t>
  </si>
  <si>
    <t>Министерство труда и социального развития МО, ГУ - Мурманское региональное отделение Фонда социального страхования РФ</t>
  </si>
  <si>
    <t>Подпрограмма 1. Содействие занятости населения Мурманской области</t>
  </si>
  <si>
    <t>Подпрограмма 2. Оказание содействия добровольному переселению в Мурманскую область соотечественников, проживающих за рубежом</t>
  </si>
  <si>
    <t>Подпрограмма 3. Улучшение условий и охраны труда в Мурманской области</t>
  </si>
  <si>
    <t>Подпрограмма 1. Профилактика правонарушений</t>
  </si>
  <si>
    <t>Подпрограмма 2. Обеспечение пожарной безопасности, защиты населения и территорий от чрезвычайных ситуаций</t>
  </si>
  <si>
    <t>Подпрограмма 3. Обеспечение гражданской обороны</t>
  </si>
  <si>
    <t>Министерство региональной безопасности МО, Министерство здравоохранения МО, ГОКУ "Управление ГОЧС и ПБ МО"</t>
  </si>
  <si>
    <t>Министерство региональной безопасности МО</t>
  </si>
  <si>
    <t>МПР МО, Государственные областные казенные учреждения в области лесных отношений, охраны окружающей среды</t>
  </si>
  <si>
    <t>МПР МО, 
администрация муниципального образования Пушной Кольского района</t>
  </si>
  <si>
    <t>МПР МО, ГОБУ "Мурманская база авиационной охраны лесов", лесопользователи</t>
  </si>
  <si>
    <t>МПР МО</t>
  </si>
  <si>
    <t>МПР МО, Минэнерго и ЖКХ МО, муниципальные образования МО</t>
  </si>
  <si>
    <t xml:space="preserve">Подпрограмма 1. Развитие агропромышленного комплекса
</t>
  </si>
  <si>
    <t>Подпрограмма 2. Развитие рыбохозяйственного комплекса</t>
  </si>
  <si>
    <t>МПР МО, предприятия рыбохозяйственного комплекса МО</t>
  </si>
  <si>
    <t>Подпрограмма 3. Обеспечение эпизоотического благополучия региона и защиты населения от болезней, общих для человека и животных</t>
  </si>
  <si>
    <t>Подпрограмма 4. Обеспечение эффективности деятельности исполнительных органов государственной власти Мурманской области в сфере реализации государственной программы</t>
  </si>
  <si>
    <t>Подпрограмма 5. Комплексное развитие сельских территорий</t>
  </si>
  <si>
    <t>Подпрограмма 1. Автомобильные дороги Мурманской области</t>
  </si>
  <si>
    <t>Подпрограмма 2. Организация транспортного обслуживания населения на территории Мурманской области</t>
  </si>
  <si>
    <t>Министерство транспорта и дорожного хозяйства МО, ГОКУ Мурманскавтодор</t>
  </si>
  <si>
    <t>Подпрограмма 1. Развитие информационного общества и  внедрение цифровых технологий</t>
  </si>
  <si>
    <t>Подпрограмма 2. Цифровая трансформация форматов взаимодействия населения Мурманской области и  исполнительных органов государственной власти, и органов местного самоуправления Мурманской области</t>
  </si>
  <si>
    <t>Подпрограмма 1. Управление региональными финансами</t>
  </si>
  <si>
    <t>Министерство финансов МО</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</si>
  <si>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</si>
  <si>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Подпрограмма 3. Организация и осуществление контроля и надзора в бюджетно-финансовой сфере и в сфере закупок товаров, работ, услуг для государственных и муниципальных нужд</t>
  </si>
  <si>
    <t>Комитет государственного и финансового контроля МО</t>
  </si>
  <si>
    <t>Министерство финансов МО, Комитет государственного и финансового контроля МО, Комитет по конкурентной политике МО</t>
  </si>
  <si>
    <t>Подпрограмма 1. Создание условий для обеспечения государственного управления</t>
  </si>
  <si>
    <t>Подпрограмма 2. Управление государственным имуществом Мурманской области</t>
  </si>
  <si>
    <t>Подпрограмма 3. Укрепление единства российской нации, развитие гражданского общества и сохранение  этнокультурного многообразия  в Мурманской области</t>
  </si>
  <si>
    <t>Подпрограмма 4. Развитие института мировой юстиции в Мурманской области</t>
  </si>
  <si>
    <t>Подпрограмма 5. Создание условий для позиционирования  Мурманской области как ключевой территории опережающего развития в Арктической зоне Российской Федерации и повышения информационной открытости исполнительных органов государственной власти Мурманской области</t>
  </si>
  <si>
    <t>Подпрограмма 2. Развитие дошкольного и общего образования</t>
  </si>
  <si>
    <t>Подпрограмма 3. Развитие дополнительного образования детей</t>
  </si>
  <si>
    <t>Подпрограмма 4. Совершенствование управления системой образования</t>
  </si>
  <si>
    <t>Министерство образования и науки МО, Министерство строительства МО, Министерство культуры МО, профессиональные образовательные организации, подведомственные государственные областные образовательные организации, муниципальные органы, осуществляющие управление в сфере образования, ОМСУ, образовательные организации, ФГАОУ ВО "МГТУ", ФГБОУ ВО "МАГУ", ФИЦ КНЦ РАН, вузы , АНО "Проектный офис "Арктический элемент", АНО "Проектный офис "Губернаторский лицей", ГАУ ДПО МО "ИРО", ГАНОУ МО "ЦО Лапландия", ГАУ МО "ЦКО", ГОБОУДО МОЗСООПЦ "Гандвиг", ГОКУ "УКС МО"</t>
  </si>
  <si>
    <t>Подпрограмма 1. Профилактика заболеваний и формирование здорового образа жизни. Развитие первичной медико-санитарной помощи</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</si>
  <si>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</si>
  <si>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Подпрограмма 3. Охрана здоровья матери и ребенка</t>
  </si>
  <si>
    <t>Подпрограмма 4. Развитие инфраструктуры системы здравоохранения</t>
  </si>
  <si>
    <t>Подпрограмма 5. Кадровое обеспечение системы здравоохранения</t>
  </si>
  <si>
    <t>Подпрограмма 6. Развитие информатизации в здравоохранении</t>
  </si>
  <si>
    <t>Подпрограмма 7. Управление системой здравоохранения, включая обеспечение реализации государственной программы</t>
  </si>
  <si>
    <t>Подпрограмма 1. Развитие массового спорта, реализация мероприятий по профилактике терроризма и информированию граждан</t>
  </si>
  <si>
    <t>Подпрограмма 2. Подготовка спортивного резерва, реализация календарного плана официальных физкультурных мероприятий и спортивных мероприятий Мурманской области</t>
  </si>
  <si>
    <t>Подпрограмма 3. Развитие спортивной инфраструктуры</t>
  </si>
  <si>
    <t>Министерство спорта МО  и Минстрой МО</t>
  </si>
  <si>
    <t>Подпрограмма 1. Жилье</t>
  </si>
  <si>
    <t>Минград МО, Минстрой МО, Минфин МО, Минтранс МО, Минэнерго и ЖКХ МО, ГОКУ "УКС МО", ГОАУ "Управление государственной экспертизы МО", муниципальное образование г. Мурманск</t>
  </si>
  <si>
    <t>Подпрограмма 2. Формирование комфортной городской среды</t>
  </si>
  <si>
    <t>Подпрограмма 3. Сокращение непригодного для проживания жилищного фонда</t>
  </si>
  <si>
    <t xml:space="preserve">Минстрой МО, муниципальные образования МО, ГОКУ "УКС МО" </t>
  </si>
  <si>
    <t>Минэнерго и ЖКХ МО, Минимущества МО, муниципальные образования МО, РСО, инвесторы, ГОКУ "АЭЭМО", АО "Апатитыводоканал"</t>
  </si>
  <si>
    <t>Подпрограмма 5. Обеспечение осуществления государственного контроля (надзора) в жилищно-коммунальной сфере</t>
  </si>
  <si>
    <t>Министерство государственного жилищного и строительного надзора МО</t>
  </si>
  <si>
    <t>Минстрой МО, Минэнерго и ЖКХ МО, НКО"ФКР МО", АНО"Центр содействия жилищному строительству" ГОКУ "УКС МО"</t>
  </si>
  <si>
    <t>Минстрой МО, Минэнерго и ЖКХ МО, Минтранс МО, Минфин МО,  ГЖИ МО, ГОКУ "УКС", ГОУП "Мурманскводоканал", муниципальные образования мо</t>
  </si>
  <si>
    <t>Министерство культуры МО, Министерство строительства МО, администрации муниципальных образований МО; государственные областные учреждения культуры и искусства</t>
  </si>
  <si>
    <t>Министерство культуры МО, Министерство строительства  МО, ГОАУК "Мурманский областной краеведческий музей", ГОАУК "Мурманский областной художественный музей", ГОКУ "Государственный архив Мурманской области", ГОКУ "Государственный архив Мурманской области в г. Кировске", ГОКУ "Управление капитального строительства Мурманской области", администрации муниципальных образований Мурманской области</t>
  </si>
  <si>
    <t>Министерство культуры МО, Министерство строительства МО, ГОКУ "Управление капитального строительства МО", ГОБУК "Мурманская государственная областная универсальная научная библиотека", ГОБУК "Мурманская областная детско-юношеская библиотека", ГОБУК "Мурманская государственная областная специальная библиотека для слепых и слабовидящих", администрации муниципальных образований МО</t>
  </si>
  <si>
    <t>Министерство имущественных отношений ММО, ГОБУ "Имущественная казна МО", ГОКУ "Центр технической инвентаризации"</t>
  </si>
  <si>
    <t>Подпрограмма 2. Модернизация системы государственных и муниципальных библиотек  и развитие литературного творчества в Мурманской области</t>
  </si>
  <si>
    <t>Подпрограмма 3. Развитие искусства, творческого потенциала и организация досуга населения</t>
  </si>
  <si>
    <t>Подпрограмма 4. Развитие системы управления государственными закупками Мурманской области, закупками отдельных видов юридических лиц</t>
  </si>
  <si>
    <t>Министерство региональной безопасности МО, Министерство труда и социального развития МО, Министерство строительства МО, Министерство цифрового развития МО,  ГОКУ "Управление ГОЧС и ПБ МО", ГОКУ "УКС МО"</t>
  </si>
  <si>
    <t>Комитет по туризму МО, Министерство строительства МО, НМКК "ФОРМАП" (фонд), АНО "Туристский информационный центр МО", АНО по развитию конгрессно-выставочной, ярмарочной и информационной деятельности "Мурманконгресс"</t>
  </si>
  <si>
    <t>1.4.6</t>
  </si>
  <si>
    <t xml:space="preserve">Количество приобретенного медицинского оборудования и медицинских изделий
</t>
  </si>
  <si>
    <t>Увеличение количества пролеченных иностранных граждан связано с реализацией проекта компании "Новатэк Мурманск" по возведению в Мурманской области Центра строительства крупнотоннажных морских сооружений в рамках единого проекта "Арктик СПГ2".</t>
  </si>
  <si>
    <t>Перевыполнение плана сложилось в связи с увеличением объема стимулирующих выплат. Реорганизация ряда действующих дошкольных образовательных организаций повлекла увеличение среднесписочной численности воспитателей и как следствие снижение среднемесячной заработной платы по сравнению с предыдущим годом</t>
  </si>
  <si>
    <t>Требуется внесение изменений в госпрограмму в части корректировки значений показателя</t>
  </si>
  <si>
    <t>2.1.7</t>
  </si>
  <si>
    <t>Численность граждан, охваченных деятельностью Центров опережающей профессиональной подготовки</t>
  </si>
  <si>
    <t>2.3.8</t>
  </si>
  <si>
    <t>Данный показатель зависит от результативности спортсменов и выполнения ими критериев для включения в сборные команды страны</t>
  </si>
  <si>
    <t>Доля граждан в возрасте 6-15 лет, занимающихся в спортивных организациях, в общей численности детей и молодежи в возрасте 6-15 лет</t>
  </si>
  <si>
    <t>Количество центров занятости населения (территориальных подразделений), в которых реализованы региональные проекты, направленные на повышение эффективности службы занятости</t>
  </si>
  <si>
    <t>Отклонение от плана обусловлено прибытием в отчетном году большего числа семей, имеющих несовершеннолетних детей.</t>
  </si>
  <si>
    <t>Превышение показателя обусловлено фактическим снижением численности работников, занятых во вредных и (или) опасных условиях труда, что подтверждается ростом вакансий на данных рабочих местах.</t>
  </si>
  <si>
    <t>7.1.10</t>
  </si>
  <si>
    <t xml:space="preserve">Количество молодых семей, достигших 36 лет, получивших свидетельства о праве на получение социальной выплаты на приобретение (строительство) жилого помещения
</t>
  </si>
  <si>
    <t>7.1.13</t>
  </si>
  <si>
    <t>Количество семей, получивших дополнительные меры поддержки</t>
  </si>
  <si>
    <t>7.1.15</t>
  </si>
  <si>
    <t xml:space="preserve">Расселенная площадь жилых помещений из многоквартирных домов, признанных аварийными и подлежащими сносу или реконструкции в разные годы
</t>
  </si>
  <si>
    <t xml:space="preserve">Обеспечение получателем субсидии потребности населения Мурманской области в сжиженном газе для бытовых нужд по утвержденным розничным ценам, возникающим в результате утверждения Комитетом по тарифному регулированию Мурманской области тарифов на сжиженный газ
</t>
  </si>
  <si>
    <t xml:space="preserve">Обеспечение получателем субсидии потребности населения на изолированных территориях Мурманской области в электрической энергии по утвержденным Комитетом по тарифному регулированию Мурманской области ценам (тарифам)
</t>
  </si>
  <si>
    <t xml:space="preserve">Прирост просроченной кредиторской задолженности перед основным поставщиком топлива по состоянию на 1-е число месяца, следующего за месяцем предоставления субсидии, к размеру просроченной кредиторской задолженности перед основным поставщиком топлива, сложившейся на дату предоставления субсидии
</t>
  </si>
  <si>
    <t>Повысить эффективность проведения информационно-пропагандистских мероприятий</t>
  </si>
  <si>
    <t xml:space="preserve">Министерство региональной безопасности МО
</t>
  </si>
  <si>
    <t>Снижение количества преступлений и правонарушений экстремистского и террористического характера обусловлено повышением эффективности профилактических мероприятий, проводимых в рамках госпрограммы.</t>
  </si>
  <si>
    <t>Повышение эффективности профилактических мероприятий за счет увеличения охвата целевой аудитории.</t>
  </si>
  <si>
    <t>9.2.3</t>
  </si>
  <si>
    <t>9.2.4</t>
  </si>
  <si>
    <t>9.2.5</t>
  </si>
  <si>
    <t>Доля муниципальных образований, в которых введена система интеллектуального видеомониторинга (распознавание лиц, видеоаналитика), в % от общего количества муниципальных образований</t>
  </si>
  <si>
    <t>Заменить данный показатель при внесении изменений в государственную программу иным показателем с учетом факторов, на которые отсутствует возможность влияния</t>
  </si>
  <si>
    <t>9.2.6</t>
  </si>
  <si>
    <t xml:space="preserve">Перевод в цифровой формат информационного взаимодействия органов повседневного управления территориальной подсистемы РСЧС
</t>
  </si>
  <si>
    <t>Наличие комплексной системы сбора, обработки, мониторинга и анализа данных</t>
  </si>
  <si>
    <t xml:space="preserve">Доведение уровня объема фактически заложенных в резерв материальных ресурсов до нормативных показателей
</t>
  </si>
  <si>
    <t>Не достижение планового значения показателя связано со значительным увеличением номенклатуры резерва, а также с выдачей на безвозвратной основе из резерва имущества и снаряжения мобилизованным гражданам и органам управления для обеспечения специальной меры в сфере экономики в связи с проведением специальной военной операции</t>
  </si>
  <si>
    <t>Выделение дополнительных средств для восполнения резерва материальных ресурсов Правительства Мурманской области, пересмотр объема номенклатуры в сторону уменьшения понаименованиям имущества и снаряжения, которые не будут востребованы</t>
  </si>
  <si>
    <t>9.3.2</t>
  </si>
  <si>
    <t xml:space="preserve">Количество должностных лиц, прошедших обучение по программам дополнительного профессионального образования в области гражданской обороны в учебно-методическом центре
</t>
  </si>
  <si>
    <t>Превышение планового значения показателя связано с большим количеством поступающих заявок на обучение после формирования годового плана комплектования для обучения, что не возможно было предвидеть за ранее</t>
  </si>
  <si>
    <t xml:space="preserve">Обеспечение реализации специальной меры в сфере экономики и отдельных мероприятий по обеспечению призыва граждан на военную службу по мобилизации в Вооруженные Силы Российской Федерации
</t>
  </si>
  <si>
    <t>0 - нет,            1 - да</t>
  </si>
  <si>
    <t>Длительное согласование с ФОИВ</t>
  </si>
  <si>
    <t>Дикий северный олень включён в красную книгу РФ и МО</t>
  </si>
  <si>
    <t>Отклонение значения показателя объясняется слабо развитой дорожной сетью, малодоступными участками, небольшой плотностью населения, расторжением договоров</t>
  </si>
  <si>
    <t>Неисполнение указанного показателя связано с отсутствием финансирования на проведение санитарно-оздоровительных мероприятий. Работы проводятся только за счет иных источников путем заключения договоров купли-продажи лесных насаждений.</t>
  </si>
  <si>
    <t>Низкое качество работ, плохая исполнительская дисциплина со стороны подрядчиков</t>
  </si>
  <si>
    <t>Внесение изменений в ГП</t>
  </si>
  <si>
    <t xml:space="preserve">Сокращение объемов производства рыбной продукции, обусловленное уменьшением объемов вылова водных биоресурсов из-за сокращения квот добычи (вылова) трески и пикши в районе регулирования СРНК </t>
  </si>
  <si>
    <t>Изменение объема  предоставленных в пользование водных биоресурсов связано с  заявленными объемами добычи водных биоресурсов пользователями</t>
  </si>
  <si>
    <t>Увеличение количества сформированных рыболовных участков связано с возросшим количеством поступающих  заявок на формирование рыболовных участков</t>
  </si>
  <si>
    <t>Увеличение количества сформированных рыбоводных участков связано с возросшим количеством поступающих  заявок на формирование рыбоводных участков</t>
  </si>
  <si>
    <t xml:space="preserve">Увеличение объемов продаж рыбной продукции связано с реализацией в рамках проекта популярной у населения продукции (треска, пикша, мойва) </t>
  </si>
  <si>
    <t xml:space="preserve">Благодаря проведению регулярной и эффективной работе по отлову животных без владельцев на территориях населенных пунктов, а также разъяснительной работе с населением, отмечается положительная тенденция снижения количества пострадавших граждан от покусов животными, в том числе животными без владельцев </t>
  </si>
  <si>
    <t>Протяженность приведенных в нормативное состояние искусственных сооружений на автомобильных дорогах регионального или межмуниципального и местного значения (накопленным итогом)</t>
  </si>
  <si>
    <t>Труднопрогнозируемый показатель</t>
  </si>
  <si>
    <t>Повышение финансовой дисциплины при исполнении местных бюджетов</t>
  </si>
  <si>
    <t>Доля гражданских служащих, получивших дополнительное профессиональное образование или участвовавших в иных мероприятиях профессионального развития, от общей численности гражданских служащих исполнительных органов  Мурманской области</t>
  </si>
  <si>
    <t>Доля поручений и указаний Президента Российской Федерации и Правительства Российской Федерации, Губернатора Мурманской области и Правительства Мурманской области, находящихся на контроле, исполненных исполнительными органами Мурманской области в установленный срок, в общем количестве таких поручений, находящихся на контроле</t>
  </si>
  <si>
    <t>Отклонение произошло за счет увеличения  количества мероприятий</t>
  </si>
  <si>
    <t>Министерство внутренней политики МО</t>
  </si>
  <si>
    <t>Комитет молодежной политики МО</t>
  </si>
  <si>
    <t>Количество участников мероприятий, направленных на укрепление общероссийского гражданского единства</t>
  </si>
  <si>
    <t>тыс. человек</t>
  </si>
  <si>
    <t xml:space="preserve">Численность участников мероприятий, направленных на этнокультурное развитие народов России
</t>
  </si>
  <si>
    <t xml:space="preserve">Доля граждан, не испытывающих негативного отношения к иностранным гражданам, в общей численности опрошенных граждан региона
</t>
  </si>
  <si>
    <t xml:space="preserve">Доля членов казачьих обществ, принявших на себя обязательства по несению государственной или иной службы, от общего числа членов казачьих обществ
</t>
  </si>
  <si>
    <t>случаев на 1000 родившихся живыми</t>
  </si>
  <si>
    <t>Значения на уровне 2021 года (К2 от 99 до 101%)</t>
  </si>
  <si>
    <t>Средняя</t>
  </si>
  <si>
    <t>Низкая</t>
  </si>
  <si>
    <t>Ниже среднего</t>
  </si>
  <si>
    <t>Высокая</t>
  </si>
  <si>
    <t>К1 (степень достижения показателей)</t>
  </si>
  <si>
    <t>К2 (динамика значений показателей)</t>
  </si>
  <si>
    <t>К3 (степень выполнения мероприятий)</t>
  </si>
  <si>
    <t>ЭГП (интегральный показатель эффективности)</t>
  </si>
  <si>
    <t>Оценка</t>
  </si>
  <si>
    <t>Государственная программа "Развитие транспортной системы"</t>
  </si>
  <si>
    <t>Приложение №2</t>
  </si>
  <si>
    <t xml:space="preserve">Государственная программа "Здравоохранение" </t>
  </si>
  <si>
    <t>2020 - 2021 разработка ПСД, 2022-2024 - строительство</t>
  </si>
  <si>
    <t>Строительство поликлиники ГОБУЗ «Кандалакшская ЦРБ» (г. Кандалакша, ул. Данилова)</t>
  </si>
  <si>
    <t>Реконструкция здания детской поликлиники ГОБУЗ "Кольская ЦРБ" (Мурманская область, г. Кола, пер. Островский, 12)</t>
  </si>
  <si>
    <t>Министерство здравоохранения Мурманской области, ГОБУЗ "Кольская ЦРБ"</t>
  </si>
  <si>
    <t>Государственная программа  "Образование и наука"</t>
  </si>
  <si>
    <t>2020 - разработка ПСД, 2021 - 2024 - СМР</t>
  </si>
  <si>
    <t>Министерство строительства Мурманской области, ГОКУ УКС МО</t>
  </si>
  <si>
    <t>цена будет определена после получения экспертизы</t>
  </si>
  <si>
    <r>
      <t>Детский сад на 75 мест в с.</t>
    </r>
    <r>
      <rPr>
        <sz val="8"/>
        <rFont val="Calibri"/>
        <family val="2"/>
        <charset val="204"/>
      </rPr>
      <t> </t>
    </r>
    <r>
      <rPr>
        <sz val="8"/>
        <rFont val="Times New Roman"/>
        <family val="1"/>
        <charset val="204"/>
      </rPr>
      <t>Алакуртти Кандалакшского района</t>
    </r>
  </si>
  <si>
    <t>Минстрой МО, АМО Кандалакшского района</t>
  </si>
  <si>
    <t>Государственная программа "Физическая культура и спорт"</t>
  </si>
  <si>
    <t xml:space="preserve">Минстрой МО,
МАУ ДО "ДЮСШ" г. Полярные Зори
</t>
  </si>
  <si>
    <t>Лыжная трасса в ЗАТО Александровск</t>
  </si>
  <si>
    <t xml:space="preserve">Минстрой МО,
администрация муниципального образования городской округ ЗАТО Александровск МО
</t>
  </si>
  <si>
    <t>Разработка ПСД на строительство лыжной трассы в ЗАТО  Заозерск</t>
  </si>
  <si>
    <t xml:space="preserve">Минстрой МО,
администрация муниципального образования городской округ ЗАТО г. Заозерск МО
</t>
  </si>
  <si>
    <t>Разработка ПСД на строительство горнолыжного подъемника МБОУ ДО ДЮСШ п.Ревда, Ловозерского района на горе Кедыквырпахк</t>
  </si>
  <si>
    <t xml:space="preserve">Минстрой МО, администрация муниципального образования Ловозерский муниципальный район МО
</t>
  </si>
  <si>
    <t>Подпрограмма "Наследие"</t>
  </si>
  <si>
    <t>Реконструкция здания государственного областного бюджетного учреждения культуры "Мурманский областной краеведческий музей"</t>
  </si>
  <si>
    <t>Минстрой МО, ГОКУ "УКС", ГОАУК "МОКМ"</t>
  </si>
  <si>
    <t>Подпрограмма "Развитие искусства, творческого потенциала и организация досуга населения"</t>
  </si>
  <si>
    <t>2017 - 2022 - разработка ПД, экспертиза, 2022 - 2024 -реконструкция</t>
  </si>
  <si>
    <t>Государственная программа"Комфортное жилье и городская среда"</t>
  </si>
  <si>
    <t xml:space="preserve">Жилые дома в г. Мурманске на ул. Бондарной 
</t>
  </si>
  <si>
    <t>2020 год - разработка ПСД.; 2021-2022 годы - строительство</t>
  </si>
  <si>
    <t>224363,84 (на основании укрупненного норматива)</t>
  </si>
  <si>
    <t>Строительство жилого дома в г. Мурманске по ул. Павлова, земельный участок №  51:20:0002014:1233</t>
  </si>
  <si>
    <t>Минстрой МО,
ГОКУ «УКС МО»</t>
  </si>
  <si>
    <t>2022-2023 год строительство</t>
  </si>
  <si>
    <t>Региональный проект "Чистая вода"</t>
  </si>
  <si>
    <t xml:space="preserve">Кладбище традиционного захоронения в районе н.п. Нивский </t>
  </si>
  <si>
    <t xml:space="preserve">2019 - 2027 гг. строительство:
2019 - 2021 - 1 этап,
2022 - 2025 - 2, 3 этапы.
Ввод объекта в эксплуатацию в 2025 году
</t>
  </si>
  <si>
    <t xml:space="preserve">Новое кладбище в городе Мончегорске
</t>
  </si>
  <si>
    <t>Новое кладбище МО г.п. Никель в районе 3 км автодороги Никель - Приречный Печенгского района Мурманской области</t>
  </si>
  <si>
    <t>Минстрой МО, АМО Печенгский район</t>
  </si>
  <si>
    <t>Городское кладбище города Оленегорска (общая площадь - 10,4 га,
площадь захор. - 5,4,
кол-во захор. - 6000,
срок эксплуатации - 40 лет)</t>
  </si>
  <si>
    <t>Минстрой МО, АМО г. Оленегорск</t>
  </si>
  <si>
    <t xml:space="preserve">Строительство городского кладбища на 7 - 8 км автодороги Кола - Мурмаши, участок "Сангородок у кедра" (2-й участок площадью 16,0 га)
</t>
  </si>
  <si>
    <t xml:space="preserve">Муниципальные образования МО 
</t>
  </si>
  <si>
    <t>Подпрограмма «Сокращение непригодного для проживания жилищного фонда»</t>
  </si>
  <si>
    <t>Разработка ПСД В 2021 году, строительство в 2022-2023 году</t>
  </si>
  <si>
    <t>Разработка ПСД В 2021-2022 году, строительство в 2022 - 2024 году</t>
  </si>
  <si>
    <t xml:space="preserve">Разработка ПСД В 2021 году, строительство в 2022 - 2023 год </t>
  </si>
  <si>
    <t>Жилой дом в г. Мурманске по ул. Полярные Зори</t>
  </si>
  <si>
    <t>Разработка ПСД В 2022 году, строительство в 2022 - 2023 году</t>
  </si>
  <si>
    <t>Жилые дома в г. Мурманске на ул. Бондарной. Этап 1 - Жилой дом в городе Мурманске по улице Бондарной. ГП-1.1</t>
  </si>
  <si>
    <t>Жилой дом в п.г.т. Зеленоборский Кандалакшского района Мурманской области по ул. Полярной</t>
  </si>
  <si>
    <t>Жилой дом в г. Мурманске по ул. Зеленой</t>
  </si>
  <si>
    <t>Разработка ПСД в 2022 году, строительство в 2023 - 2024 годах</t>
  </si>
  <si>
    <t>Подпрограмма «Обеспечение устойчивой деятельности топливно-энергетического комплекса Мурманской области и повышения энергетической эффективности»</t>
  </si>
  <si>
    <t>Реконструкция сетей водоснабжения, расположенных на западном берегу Кольского залива</t>
  </si>
  <si>
    <t>Минстрой МО, ГОУП "Мурманскводоканал"</t>
  </si>
  <si>
    <t>Развитие сетей водоснабжения на Западном берегу Кольского залива г.Мурманска, от точки присоединения к централизованной системе холодного водоснабжения ГОУП «Мурманскводоканал» в районе Комсомольской горки г. Кола до жилого района Дровяное г.Мурманска</t>
  </si>
  <si>
    <t>Минстрой МО, ГОКУ "УКС МО"</t>
  </si>
  <si>
    <t>разработка ПД - 2022 год,
строительство - 2022 - 2023 годы</t>
  </si>
  <si>
    <t>Развитие сетей водоснабжения на западном берегу Кольского залива г. Мурманска, переходы водоводов  через р. Кола и Вересову губу Кольского залива</t>
  </si>
  <si>
    <t xml:space="preserve">разработка ПД - 2022 год,
строительство - 2023 год
</t>
  </si>
  <si>
    <t>Реконструкция (техническое перевооружение/модернизация) котельной "Северная" в связи с переводом на закрытую систему теплоснабжения Ленинского административного округа и мкр. Росляково г. Мурманска</t>
  </si>
  <si>
    <t>строительство - 2022 - 2024 годы</t>
  </si>
  <si>
    <t>Государственная программа "Природные ресурсы и экология "</t>
  </si>
  <si>
    <t>Подпрограмма "Обращение с отходами"</t>
  </si>
  <si>
    <t>2021 - монтаж и запуск в эксплуатацию мусоросортировочной линии;
2021 - 2022 - модернизация технологического оборудования</t>
  </si>
  <si>
    <t>Реконструкция автоподъезда к селу Териберка, км 10-20</t>
  </si>
  <si>
    <t xml:space="preserve">ГОКУ Мурманскавтодор
</t>
  </si>
  <si>
    <t>2022-2024</t>
  </si>
  <si>
    <t xml:space="preserve">Реконструкция мостового перехода через р. Эйнч на км 102+814 автомобильной дороги Кола - Серебрянские ГЭС с подъездами
</t>
  </si>
  <si>
    <t xml:space="preserve">Реконструкция мостового перехода через р. Кети на км 14+135 автоподъезда к населенному пункту Зареченск
</t>
  </si>
  <si>
    <t>2022-2023</t>
  </si>
  <si>
    <t xml:space="preserve">Индекс производства продукции сельского хозяйства (в сопоставимых ценах) к уровню 2020 года
</t>
  </si>
  <si>
    <t>% к 2018 году</t>
  </si>
  <si>
    <t>Предварительные данные. Итоговые сентябрь 2024 года. Расчетный показатель. Для расчета используются данные Мурманстата формы 041741198 за 2021,2022 и 2023 год.</t>
  </si>
  <si>
    <t>Производство молока в сельскохозяйственных организациях, крестьянских (фермерских) хозяйствах, включая индивидуальных предпринимателей и граждан, ведущих личное подсобное хозяйство, применяющих специальный налоговый режим "Налог на профессиональный доход"</t>
  </si>
  <si>
    <t>Сельскохозяйственные товаропроизводители получили государственную поддержку на создание и развитие производств в АПК (количество сельскохозяйственных товаропроизводителей, получивших поддержку, в том числе в результате услуг, оказанных центрами компетенций в сфере сельскохозяйственной кооперации и поддержки фермеров, накопленным итогом)</t>
  </si>
  <si>
    <t>Поголовье северных оленей и маралов в сельскохозяйственных организациях, крестьянских (фермерских) хозяйствах, включая индивидуальных предпринимателей</t>
  </si>
  <si>
    <t>11.1.1</t>
  </si>
  <si>
    <t>11.1.7</t>
  </si>
  <si>
    <t xml:space="preserve">  - </t>
  </si>
  <si>
    <t xml:space="preserve"> - </t>
  </si>
  <si>
    <t>Перевыполнение показателя связано со значительным ростом продуктивности молочного скота.</t>
  </si>
  <si>
    <t>Увеличение ГОУСП "Тулома" площади ярового сева по отношению к предыдущему периоду.</t>
  </si>
  <si>
    <t>МПР МО, АНО "Центр компетенций в сфере сельскохозяйственной кооперации и поддержки фермеров Мурманской области</t>
  </si>
  <si>
    <t>Увеличение объема производства продукции товарной аквакультуры связано с существенным перевыполнением планируемых показателей по росту объемов производства  ООО «Инарктика СЗ» и ООО «Русский Лосось»</t>
  </si>
  <si>
    <t xml:space="preserve">Увеличение доли застрахованного объема производства объектов товарной аквакультуры (товарного рыбоводства) связано с увеличением объема страхования ООО "Русский лосось", обусловленного большим чем планировалось объемом застрахованного поголовья объектов акваультуры  </t>
  </si>
  <si>
    <t xml:space="preserve">В связи с установлением более низкого показателя (32,1 км), утвержденного приказом Минсельхоза России от 02.02.2023 № 65.
</t>
  </si>
  <si>
    <t>Превышение планируемого показателя обусловлено выпуском ценных видов водных биоресурсов в рамках компенсационных мероприятий</t>
  </si>
  <si>
    <t xml:space="preserve">Снижение объема экспорта рыбы и морепродуктов связано со сложившейся геополитической ситуацией, повлекшей сокращение зарубежных рынков сбыта рыбной продукции </t>
  </si>
  <si>
    <t>Показатель на 2024 год и последующие годы будет откорректирован исходя из  прогноза заявленного объема вылова водных биоресурсов с учетом изменений федеральных НПА, определяющих порядок предоставления водных биоресурсов в пользование.</t>
  </si>
  <si>
    <t>Летом 2023 года зарегистрировано 2 очага в дикой природе высокопатогенного гриппа птиц (чаек) в районах н.п. Териберка и Ура-Губа, которые были успешно локализованы и ликвидированы.</t>
  </si>
  <si>
    <t xml:space="preserve">Проведение мониторинга эпизоотической ситуации по особо опасным болезням животных в дикой природе </t>
  </si>
  <si>
    <t>Проведение активной разъяснительной работы с владельцами ЛПХ и рыбоводных хозяйств о мерах по профилактике возникновения заразных болезней животных</t>
  </si>
  <si>
    <t>Ветеринарно-санитарной экспертизе подвергнуто 362 414,345 т поступившей в регион продукции животного происхождения, из которой выявлено. некачественной и опасной продукции 18,275 т.. Таким образом, доля выявленной в 2023 году некачественной и опасной пищевой продукции животного происхождения при проведении ветеринарно-санитарной экспертизы составила 0,005 %  (план – 0,044 %).. Выявленная некачественная и опасная рыбная продукция направлена на утилизацию и уничтожение.</t>
  </si>
  <si>
    <t xml:space="preserve">Плановый показатель неактуален и не соответствует показателю государственного задания. Кроме этого, показатель достигнут ниже планового по причине снижения поголовья КРС повергаемого вакцинации (на 01.01.2022 - 6034 голов, на 31.12.2023 - 5500 голов) и прекращением в подсобных хозяйствах УФСИН деятельности по содержанию и убою свиней. </t>
  </si>
  <si>
    <t>Проведение анализа экономического развития сельхозпредприятий и личных подсобных хозяйств граждан</t>
  </si>
  <si>
    <t>Перевыполнение показателя  связано с изменением в 2022 году правил по профилактике бруцеллеза в части увеличения кратности диагностических исследований и перечня исследуемого поголовья (добавлен МРС). Снижение динамики связано со снижением поголовья животных, подвергаемых диагностическим исследованиям.</t>
  </si>
  <si>
    <t xml:space="preserve">В 2023 году контрольные (надзорные) мероприятия в отношении объектов контроля не проводились в силу действующих ограничений, предписания не выдавались. Вместе с  тем в полной мере реализован инструмент профилактической работы: проведено 20 профилактических визитов в приюты для животных, контролируемым лицам объявлено 42 предостережения о недопустимости нарушения обязательных требований. В рамках профилактических мероприятий грубых нарушений в деятельности приютов для животных, в том числе жестокого обращения с животными, не обнаружено.  В комитет поступила информация об устранении хозяйствующим субъектом нарушений, выявленных в 2022 году. Срок исполнения одного предписания по ходатайству контролируемого лица продлен. </t>
  </si>
  <si>
    <t xml:space="preserve">Оперативное реагирование (мероприятия по отлову) организаций-подрядчиков на поступающую информацию о месте нахождения агрессивных животных без владельцев </t>
  </si>
  <si>
    <t>Количество объектов, в которых проведен капитальный ремонт в рамках подпрограммы</t>
  </si>
  <si>
    <t>Минприроды МО, Минстрой МО</t>
  </si>
  <si>
    <t>В 2023 году отсутствовал список участников мероприятий по улучшению жилищных условий, в связи с отсутствием желающих.</t>
  </si>
  <si>
    <t>Будет продолжена работа с Администрациями муниципальных образований сельских населенных пунктов по вовлечению жителей, нуждающихся в улучшении жилищных условий, к участию в мероприятии Подпрограммы.</t>
  </si>
  <si>
    <r>
      <rPr>
        <u/>
        <sz val="8"/>
        <rFont val="Times New Roman"/>
        <family val="1"/>
        <charset val="204"/>
      </rPr>
      <t>1 случай</t>
    </r>
    <r>
      <rPr>
        <sz val="8"/>
        <rFont val="Times New Roman"/>
        <family val="1"/>
        <charset val="204"/>
      </rPr>
      <t xml:space="preserve">: Приказом Комитета от 19.01.2023 № 7-од установлены ограничительные мероприятия по чуму плотоядных в н.п. Пушной на территории гаражного комплекса Гладких К.А. По окончании проведения комплекса оздоровительных мероприятий  Приказом Комитета от 05.04.2023 № 41-од карантин отменен. </t>
    </r>
    <r>
      <rPr>
        <u/>
        <sz val="8"/>
        <rFont val="Times New Roman"/>
        <family val="1"/>
        <charset val="204"/>
      </rPr>
      <t>2 случай:</t>
    </r>
    <r>
      <rPr>
        <sz val="8"/>
        <rFont val="Times New Roman"/>
        <family val="1"/>
        <charset val="204"/>
      </rPr>
      <t xml:space="preserve"> Приказом Комитета от 24.04.2023 № 47-од установлен карантин по псевдомонозу рыб в рыбоводном хозяйстве ООО "ЛОИСТО" (оз. Имандра). По окончании проведения оздоровительных мероприятий приказом Комитета от 04.08.2023 № 92-од ограничительные мероприятия отменены.</t>
    </r>
  </si>
  <si>
    <t>Первая оценка. Предварительные данные опубликованы Мурманскстатом в сборнике социально-экономического положения Мурманской области в 2023 году, уточненные данные будут повторно пересчитаны в августе 2024 года.
Основные причины отрицательной динамики:
- снижение металлургического производства на  11,4 % к 2022 году на фоне сокращения поставок норильского сырья. По информации ПАО «ГМК «Норильский никель» временное снижение объемов добычи руды связанно с тестированием и вводом в эксплуатацию нового горного оборудования от новых поставщиков;
- сокращение производства прочих транспортных средств и оборудования (в 2,7 раза к 2022 году). Это связано прежде всего с завершением строительства первой технологической линии сжижения газа (в составе проекта Арктик СПГ-2). Также была проведена вынужденная замена иностранных подрядчиков на проекте;
- снижение производства в добыче металлических руд (на 17,1%) в связи с сокращением выпуска железорудного концентрата на 19,2 %, что обусловлено уменьшением содержания полезных компонентов в добываемой руде, проведением работ по восполнению минерально-сырьевой базы (рост объемов вскрышных работ для обеспечения уровня добычи в будущих периодах), а также проведением временных ремонтных работ на обогатительных фабриках.</t>
  </si>
  <si>
    <t>Продолжить проведение регулярного мониторинга ведущих промышленных предприятий Мурманской области. 
Совершенствование мер государственной поддержки инвестиционной деятельности в регионе</t>
  </si>
  <si>
    <t>Первая оценка. Значение показателя рассчитано по предварительным данным, официальные статистические данные (вторая окончательная оценка) будет пересчитано в августе 2024 года, окончательные данные - декабрь 2024 года.</t>
  </si>
  <si>
    <t>Оценка. Данные представлены на уровне планового значения, официальные статистические данные будут в июне 2024 года</t>
  </si>
  <si>
    <t xml:space="preserve">Активизация инвесторов по запуску инвестиционных проектов и получению статуса резидента АЗРФ и ТОР
</t>
  </si>
  <si>
    <t>Оценка. Данные представлены на уровне планового значения. В соответствии с методикой рейтинг формируется Минэкономразвития России до 01 апреля года, следующего за отчетным. Вместе с тем, срок официального опубликования рейтинга не установлен и не представляется возможным спрогнозировать дату его опубликования.</t>
  </si>
  <si>
    <t>Количество предприятий-участников, вовлеченных в национальный проект "Производительность труда" через получение адресной поддержки, нарастающим итогом</t>
  </si>
  <si>
    <t>Количество руководителей, обученных по программе управленческих навыков для повышения производительности труда, нарастающим итогом</t>
  </si>
  <si>
    <t>Место Мурманской области в рейтинге субъектов Российской Федерации по уровню развития сферы государственно-частного партнерства</t>
  </si>
  <si>
    <t>Оценка. Данные представлены на уровне планового значения. Срок предоставления формы статистической отчетности "Баланс трудовых ресурсов по Мурманской области" за 2023 год - до 18 августа 2024 года</t>
  </si>
  <si>
    <t>Оценка. Данные представлены на уровне планового значения. Срок предоставления окончательных форм статистической отчетности по обороту продукции и услуг, производимых средними и малыми предприятиями, за 2023 год - до 5 июня 2024 года</t>
  </si>
  <si>
    <t>Оценка. Значение показателя рассчитано на основании предварительной оценки численности населения по Мурманской области, официальные статистические данные будут в апреле 2024 года. Увеличение значения показателя связано с ростом количества субъектов МСП на фоне снижения численности населения региона</t>
  </si>
  <si>
    <t>Количество введенных в эксплуатацию номеров в модульных некапитальных средствах размещения (нарастающим итогом)</t>
  </si>
  <si>
    <t>В соответствии с заключенным соглашением о реализации РП № 069-2022-J1009-6/3.1 от 26.12.2023 достижение значения показателя 2023 года перенесено на 2024 год, в план изменения не внесены</t>
  </si>
  <si>
    <t>Недостижение значения показателя связано с изменением структуры экспорта и импорта в связи с мировой экономической и политической конъюнктурой, переориентацией экспортных рынков сбыта, перестройкой логистики (поиск новых контрагентов)</t>
  </si>
  <si>
    <t>Продолжение работы по поддержке экспортеров Мурманской области через меры поддержки, предоставляемые Центром поддержки экспорта Мурманской области, рассмотрение возможности внедрения новых мер поддержки, вовлечение в экспорт новых субъектов МСП</t>
  </si>
  <si>
    <t>План на 2023 год</t>
  </si>
  <si>
    <t>Министерство развития Арктики и экономики Мурманской области, Комитет по конкурентной политике Мурманской области, Министерство имущественных отношений Мурманской области, Министерство транспорта и дорожного хозяйства Мурманской области, Министерство градостроительства и благоустройства Мурманской области, Министерство энергетики и жилищно-коммунального хозяйства Мурманской области, АО "Корпорация развития Мурманской области", ООО "УК "Столица Арктики", АНО "Арктический центр компетенций"</t>
  </si>
  <si>
    <t>Невыполнение мероприятий и низкое освоение средств в связи с перераспределением средств, выделенных на инфраструктурный бюджетный кредит, одобренный ранее для реализации проекта «Культурно-деловой центр «Новый Мурманск», на другие три инфраструктурных проекта. Соответствующее перераспределение одобрено Правительственной комиссией по региональному развитию под председательством вице-премьера М.Ш. Хуснуллина (заочно) 22.03.2024, а также поддержано Минфином РФ согласно письму от 07.03.2024 № 06-09-05/20832</t>
  </si>
  <si>
    <t>Министерство развития Арктики и экономики Мурманской области, Министерство цифрового развития Мурманской области, НМКК "ФОРМАП" (фонд), ГОБУ МРИБИ, ГОБУ "МФЦ МО", АНО по развитию конгрессно-выставочной, ярмарочной и информационной деятельности "Мурманконгресс", АНО "Центр поддержки экспорта Мурманской области", АНО  "Агентство по проведению спортивно-массовых и культурно-зрелищных мероприятий "СпортКульт51"</t>
  </si>
  <si>
    <t>Неполное освоение средств в связи с тем, что средства некоторых субсидий (грантов) израсходованы в соответствии с фактически сложившейся потребностью</t>
  </si>
  <si>
    <t>Частичное выполнение мероприятия связано с недостижением результата (значения показателя), который был перенесен с 2023 года на 2024 год в соответствии с заключенным соглашением о реализации РП № 069-2022-J1009-6/3.1 от 26.12.2023</t>
  </si>
  <si>
    <t>Министерство развития Арктики и экономики МО, АНО по развитию конгрессно-выставочной, ярмарочной и информационной деятельности "Мурманконгресс"</t>
  </si>
  <si>
    <t>Министерство развития Арктики и экономики Мурманской области, Министерство строительства Мурманской области, Министерство цифрового развития Мурманской области, Комитет по тарифному регулированию Мурманской области, Комитет по туризму Мурманской области, Комитет по конкурентной политике Мурманской области, АО "Корпорация развития Мурманской области, ООО "УК "Столица Арктики", НМК "ФОРМАП", ГОБУ МРИБИ, ГОБУ "МФЦ МО", АНО "Арктический центр компетенций", Автономная некоммерческая организация по развитию конгрессно-выставочной деятельности "Мурманконгресс", АНО "Центр поддержки экспорта"</t>
  </si>
  <si>
    <t>Снижение значения показателя от запланированного произошло за счет снижения среднегодовой численности безработных (в соответствии с определениями МОТ) в связи с обеспечением высокого уровня трудоустройства граждан, обратившихся в службу занятости, а также сохраняющейся высокой потребности работодателей в работниках (более 18 тыс. вакансий за 2023 год).</t>
  </si>
  <si>
    <t>Снижение значения показателя от планового значения произошло за счет снижения среднегодовой численности официально зарегистрированных безработных (к концу 2023 года по сравнению с началом года число безработных уменьшилось в 1,7 раза) в связи с обеспечением высокого уровня трудоустройства граждан, обратившихся в службу занятости, а также сохраняющейся высокой потребности работодателей в работниках (более 18 тыс. вакансий за 2023 год).</t>
  </si>
  <si>
    <t xml:space="preserve">Недостижение показателя произошло из-за выявления скрытых случаев профессиональных заболеваний, симптомы которых умышленно были скрыты работниками. </t>
  </si>
  <si>
    <t xml:space="preserve">Провести информирование работников (на предприятиях с высоким уровнем профессиональных заболеваемости) по недопущению скрытия симптомов профессиональных заболеваний с целью проведения превентивных мер по их лечению, чтобы в дальнейшем они не перешли в профессиональные заболевания.  </t>
  </si>
  <si>
    <t>Перевыполнение показателя обусловлено увеличением числа застрахованных работников по сравнению с 2022 годом (16191 к 16102 в 2022 году).</t>
  </si>
  <si>
    <t>6.1.5</t>
  </si>
  <si>
    <t>Численность граждан, принявших участие в мероприятиях по организации общественных работ, из числа зарегистрированных в органах службы занятости в целях поиска подходящей работы, включая безработных граждан</t>
  </si>
  <si>
    <t xml:space="preserve">Снижение значения показателя от планового произошло за счет уменьшения общего числа признанных безработных в 2023 году на 25% по сравнению с предыдущим годом (заявительный характер) </t>
  </si>
  <si>
    <t>Невыполнение показателя обусловлено уменьшением  числа безработных к концу 2023 года по сравнению с началом года в 1,7 раза. Что  привело к быстрому снижению (на 0,3 п.п.) среднеобластного уровня безработицы в численности трудоспособного населения. В то же время наивысший уровень безработицы (в Терском районе) к концу 2023 г. снизился на 3,0 п.п. и составил 3,2%. По сравнению с предыдущим периодом коэффициент снизился на 1,4.</t>
  </si>
  <si>
    <t>В связи с досрочным расторжением трудовых договоров с гражданами, участвующими в общественных работах, были дополнительно трудоустроены 13 граждан.</t>
  </si>
  <si>
    <t>Плановое значение показателя в отчете установлено в соответствии с постановлением Правительства Мурманской области от 07.02.2024 № 60-ПП, принятым в связи с корректировкой планового значения показателя в соответствии с распоряжениями Правительства Российской Федерации от 27.12.2023 № 3942-р.
Участие соотечественников в программе имеет заявительный характер. Достижение целевого показателя не является основанием для отказа в участии.</t>
  </si>
  <si>
    <t xml:space="preserve">В целях недопущения производственного травматизма будет проведено совещание представителей Министерства и Государственной инспекции труда по Мурманской области по вопросу проведения профилактических визитов в организации, допустившие случаи производственного травматизма в 2023 году.      </t>
  </si>
  <si>
    <t xml:space="preserve">Перевыполнение плановых значений обусловлено тем, что произошел отток работников, осуществляющих работу вахтовым методом. </t>
  </si>
  <si>
    <t>Перевыполнение плановых значений обусловлено своевременным оказанием первой помощи (на предприятиях) и медицинской помощи, что привело к снижению количества дней временной нетрудоспособности. Показатель ухудшился по отношению к 2022 году в связи с тем, что в 2023 году незначительно возросло количество легких несчастных случаев.</t>
  </si>
  <si>
    <t xml:space="preserve">Значительное увеличение показателя произошло из-за выявления скрытых случаев профессиональных заболеваний, симптомы которых умышленно были скрыты работниками. </t>
  </si>
  <si>
    <t>Перевыполнение плановых значений обусловлено низким качеством оказания услуг по проведению специальной оценки условий труда. В результате чего приходится повторно (внепланово) проводить специальную оценку условий труда на уже проведённых рабочих местах, а иногда и не по одному разу в год.</t>
  </si>
  <si>
    <t xml:space="preserve">Анализ динамики проведения специальной оценки условий труда в общем количестве рабочих мест показал, что достичь показатель в 98% не представляется возможным (средний показатель реализации данного показателя составляет 84%) поскольку:
1. Есть категории работников, в отношении, которых специальная оценка условий труда не проводится (в отношении надомников, дистанционных работников и работников, вступивших в трудовые отношения с работодателями - физическими лицами, не являющимися индивидуальными предпринимателями, или с работодателями - религиозными организациями, зарегистрированными в соответствии с федеральным законом).
2. В отношении некоторых работников Министерством труда и социальной защиты РФ не разработана методика проведения СОУТ (государственные гражданские и муниципальные служащие).
3.  Работодатели организуют временные должности на конкретные виды работ (сезонные работы, временные работы и т.д.).
4. Работодатели небольших организаций (от 3 до 6 человек), оказывающие работы и услуги в офисах, не проводят СОУТ, поскольку для них это лишние расходы, а их работники не относятся к работникам рабочих профессий.
5. Некоторые работодатели не проводят СОУТ и повторный СОУТ, поскольку с 2020 года и по настоящее время введен мораторий на проверки.
Несмотря на это, перечисленные работники относятся к общей численности работников, осуществляющих трудовую деятельность на территории Мурманской области </t>
  </si>
  <si>
    <t>Ввиду объективных причин в 2023 году показатель «Удельный вес рабочих мест, на которых проведена специальная оценка условий труда, в общем количестве рабочих мест» будет пересмотрен путем исключения из общего числа работников лиц, в отношении которых СОУТ не проводится.</t>
  </si>
  <si>
    <r>
      <t>Рост числа несчастных случаев обусловлен тем, что</t>
    </r>
    <r>
      <rPr>
        <sz val="8"/>
        <rFont val="Times New Roman"/>
        <family val="1"/>
        <charset val="204"/>
      </rPr>
      <t xml:space="preserve"> работодатели пользуясь введённым 2020 году мораторием на проведение проверок по осуществлению государственного контроля (надзора), муниципального контроля пренебрегают обязательными требованиями в сфере охраны руда и промышленной безопасности.  </t>
    </r>
  </si>
  <si>
    <t>Министерство труда и социального развития Мурманской области, ГОБУ ЦЗН МО, органы местного самоуправления</t>
  </si>
  <si>
    <t>Мероприятия выполнены не в полном объеме в связи с их заявительным принципом</t>
  </si>
  <si>
    <t>Неполное освоение средств связано со снижением актуальности у соотечественников участия в Программе</t>
  </si>
  <si>
    <t>Министерство труда и социального развития Мурманской области, Министерство здравоохранения Мурманской области, Министерство образования и науки Мурманской области, Отделение Фонда пенсионного и социального страхования РФ по Мурманской области, ГОБУ ЦЗН Мурманской области, органы местного самоуправления</t>
  </si>
  <si>
    <t>Степень освоения средств более 100% обусловлена тем, что фактическое исполнение по ВБС превышает плановые значения (в ГП не внесены изменения). Высокое освоение средств ВБС связано с тем, что Министерством труда и социальной защиты РФ продлен срок подачи заявлений в Фонд пенсионного и социального страхования РФ и увеличен перечень мероприятий, на которые можно получить финансирование. Кроме того, работодатели, у которых не было вредных и опасных условий труда, имели возможность вернуть из фонда всю разрешенную сумму</t>
  </si>
  <si>
    <t>Подпрограмма 4 «Сопровождение инвалидов молодого возраста при получении ими профессионального образования и содействие в последующем трудоустройстве»</t>
  </si>
  <si>
    <t xml:space="preserve">Отношение дефицита областного бюджета к общему годовому объему доходов областного бюджета без учета объема безвозмездных поступлений в отчетном финансовом году составляет 0,4 %. </t>
  </si>
  <si>
    <t>Оценка. Результаты оценки качества за 2023 год будут опубликованы на официальном сайте Минфина России в октябре 2024 года</t>
  </si>
  <si>
    <t xml:space="preserve">Общее количество обязательств всех заключенных соглашений в 2023 году составляет 325 единиц, из которых выполнено 321, или 98,8%, что свидетельствует о высоком уровне выполнения обязательств соглашений муниципальными образованиями. </t>
  </si>
  <si>
    <t>15.1.5</t>
  </si>
  <si>
    <t xml:space="preserve">Внедрение и функционирование государственной информационной системы Мурманской области «Единая централизованная система управления финансово-хозяйственной деятельностью Мурманской области и кадровым составом государственной гражданской службы Мурманской области»
</t>
  </si>
  <si>
    <t xml:space="preserve">Размер государственного долга Мурманской области на 1 января 2024 года составил 22,3 млрд рублей (или 20 % от общего объема доходов бюджета Мурманской области без учета безвозмездных поступлений), за год увеличился на 2,0 млрд рублей, или на 10,1 %  за счет привлечения бюджетных кредитов (инфраструктурный кредит, специальные казначейские кредиты,  кредит в целях опережающего финансового обеспечения расходных обязательств субъектов Российской Федерации).  </t>
  </si>
  <si>
    <t>В соответствии с приказом Министерства финансов Мурманской области от 18.11.2021 № 134н "Об утверждении Порядка проведения Министерством финансов Мурманской области мониторинга качества финансового менеджмента" 
Министерство финансов Мурманской области осуществляет оценку качества финансового менеджмента и формирует отчет о результатах мониторинга качества финансового менеджмента в срок до 1 июня 2024 года</t>
  </si>
  <si>
    <t>НИФИ Минфина РФ опубликует рейтинг субъектов на официальном сайте в конце апреля 2024 года</t>
  </si>
  <si>
    <t xml:space="preserve">Просроченная кредиторская задолженность снизилась на 65,3 млн рублей или на 47 % </t>
  </si>
  <si>
    <t>Обусловлено  ростом объемов дотации в 2023 по сравнению с 2022 годом  в связи с необходимостью сохранения  критерия выравнивания бюджетной обеспеченности, установленного на 2022 год  в размере 0,984806</t>
  </si>
  <si>
    <t>Положительная динамика обусловлена проведением ГОКУ "УЦЗ МО" детального анализа потребностей подведомственных заказчиков Минздрава МО на предмет объединения закупок в совместные торги</t>
  </si>
  <si>
    <t>Положительная динамика обусловлена применением типового положения о закупке товаров, работ, услуг государственными бюджетными и автономными учреждениями Мурманской области, государственными унитарными предприятиями Мурманской области</t>
  </si>
  <si>
    <t>Министерство региональной безопасности МО, Министерство информационной политики МО, Министерство образования и науки МО, Министерство культуры МО, органы местного самоуправления, УМВД России по Мурманской области</t>
  </si>
  <si>
    <t>Министерство региональной безопасности МО, Министерство информационной политики МО, Министерство образования и науки МО, Министерство культуры МО, Министерство труда и социального развития МО,  Министерство цифрового развития МО,  Министерство здравоохранения МО, ГОКУ "Управление по ГОЧС и ПБ Мурманской области", органы местного самоуправления, УМВД России по МО</t>
  </si>
  <si>
    <t>Неосвоение средств в полном объеме связано с образовавшейся экономией по фонду оплаты труда в связи с наличием в течение 2023 года вакантных единиц, несостоявшимся обучением по повышению квалификации в сфере мобилизационной подготовки и в результате проведения закупок в модуле "Малые закупки"</t>
  </si>
  <si>
    <t>Превышение планового показателя связано с  повышением эффективности действий подразделений региональных ГПС и АСС на пожарах и при ЧС</t>
  </si>
  <si>
    <t xml:space="preserve">В 2023 году на увеличение уровня преступности оказали влияние ряд как объективных, так и субъективных факторов. 1. Увеличилось число выявленных правоохранительными органами преступлений, характеризующихся двойной превенцией, то есть так называемых профилактических статей. Их рост составил 7%, а в абсолютных цифрах плюс 103 преступления (с 1460 до 1563) 2. С учетом определенных руководством Министерства внутренних дел приоритетных задач пересмотрен подход к организации работы по противодействию незаконному обороту наркотиков. В результате число инициативно выявленных преступлений указанной категории возросло почти на 50% (+47,6%; с 926 до 1367). В абсолютных значениях это плюс 440. 3. Увеличение преступлений, совершенных в сфере информационно-телекоммуникационных технологий. Динамика их роста составила 20% или плюс 800 преступлений (+19,2%; +810; с 4217 до 5027), большая часть из которых, а это свыше 500 – преступления предусмотренные статьей 272 УК РФ «Неправомерный доступ к компьютерной информации» в виде взлома аккаунтов в социальных сетях, личных кабинетов сайта государственных услуг и так далее. Также отмечено увеличение таких тяжких и особо тяжких составов как умышленные убийства (+8,3%, с 36 до 39), изнасилований (+90,9%; с 11 до 21), хулиганства (+100%; с 4 до 8), однако данные преступления существенного влияния на увеличение уровня ТиОТ преступности не оказали и составили всего 2% от зарегистрированных преступных деяний рассматриваемой категории. </t>
  </si>
  <si>
    <t>Состояние преступности в общественных местах характеризуется снижением совершенных преступлений на 5% (-5,4%; с 3527 до 3335). Одновременно на четверть снизился уровень уличной преступности (-25,9%; с 1536 до 1139)</t>
  </si>
  <si>
    <t>Продолжить проведение оперативно-профилактических мероприятий и работу по внедрению и развитию видеомониторинга в общественных местах и на улицах.</t>
  </si>
  <si>
    <t xml:space="preserve">Снижение планового показателя обусловлено снижением количества преступлений, совершенных несовершеннолетними (-3,2%), снижением числа административных правонарушений, совершенных несовершеннолетними (-5,4%) и как следствие снижения количества несовершеннолетних, состоящих на профилактическом учете. </t>
  </si>
  <si>
    <t>В 2023 году в мероприятии приняли участие 479 человек, что превысило плановое количество участников</t>
  </si>
  <si>
    <t>Снижение времени оперативного реагирования по сравнению с 2020 годом обусловлено постоянным совершенствованием действий в ходе учений и занятий личным составом пожарно-спасательной службы Мурманской области, а также своевременно предпринятыми действиями для ликвидации пожаров</t>
  </si>
  <si>
    <t>Снижение среднего ущерба, приходящегося на один пожар по сравнению с 2020 годом обусловлено снижением времени оперативного реагирования на пожары и повышением эффективности действий при тушении пожаров</t>
  </si>
  <si>
    <t>Снижение времени оперативного реагирования обусловлено постоянным совершенствованием действий в ходе учений и занятий личным составом аварийно-спасательной службы Мурманской области</t>
  </si>
  <si>
    <t>Недостижение планового значения показателя связано с неисполнением обязательств по реконструкции системы оповещения населения об опасностях в отдельных муниципальных образованиях в рамках построения АПК "Безопасный город"</t>
  </si>
  <si>
    <t>В 9 муниципальных образованиях  системы видеонаблюдения построены на базе программного обеспечения "Интеллект", позволяющего реализовывать функцию видеоанализа (интеллектуального видеомониторинга). Однако, данная функция по имеющимся сведениям не реализуется, поскольку требует взаимодействия со стороны правоохранительных органов и их дополнительных затрат на необходимые для этого лицензии. Соответственно, оценочное значение достижение планового значения по данному показателю равно нулю.</t>
  </si>
  <si>
    <t>Превышение планового значения показателя связано с заключением Соглашения об осуществлении информационного обмена по предупреждению и ликвидации чрезвычайных ситуаций  между Главным управлением МЧС России по Мурманской области и Министерством региональной безопасности Мурманской области, в рамках которого  к «личному кабинету ЕДДС» на региональном уровне подключены (зарегистрированы) имеющиеся 2 органа повседневного управления Мурманской территориальной подсистемы РСЧС</t>
  </si>
  <si>
    <t>Государственная программа Мурманской области "Общественная безопасность" (Минрегбез МО)</t>
  </si>
  <si>
    <t>Министерство цифрового развития МО, Министерство образования и науки МО, Министерство труда и социального развития МО, Министерство юстиции  МО</t>
  </si>
  <si>
    <t>Невыполнение мероприятия и неполное освоение средств связано с несостоявшимся аукционном (отсутствие заявок) на оказание услуг по модернизации АИСдля предоставления государственных и муниципальных услуг в сфере образования в электронном виде в общеобразовательных организациях Мурманской области. Причина отсутствия заявок по результатам аукциона – невозможность потенциальных исполнителей обеспечить выполнение в полном объеме работ, предусмотренных техническим заданием.</t>
  </si>
  <si>
    <t>Министерство цифрового развития МО, ГОБУ "ЦИТ МО"</t>
  </si>
  <si>
    <t>Превышение доли издаваемых ИОМО электронных документов (по отношению к плановым значением) связано с более интенсивным использованием руководителями ведомств мобильных АРМ (планшетных компьютеров).                                                                                                               Отсутствует механизм точного прогноза планового значения показателя. Фактическое значение показателя зависит от организации процесса документооборота (подписание документов ЭП) в каждом исполнительном органе Мурманской области.</t>
  </si>
  <si>
    <t>Итоговые значения показателя формируются  в информационно-аналитической системе мониторинга качества государственных услуг (ИАС МКГУ). Жители Мурманской области высоко оценивают качество предоставления услуг, полученных в МФЦ. Это обусловлено как ежегодно расширяющимся спектром востребованных услуг, так и мероприятиями, направленными на обеспечение качества и доступности их предоставления. 
На базе МФЦ  действует 12 Центров цифровых компетенций «МФЦифра», 6 видеоприемных,  организовано выездное обслуживание населения 28 населенных пунктах, территориально удаленных от административных центров. В Октябрьском отделении МФЦ г. Мурманска функционирует сервис получения результата услуги через постамат – автоматизированный терминал выдачи.
Кроме того, проведены капитальные ремонты отделений в  городах Заполярный и Ковдор, что повышает уровень комфортности предоставления услуг.                Целевое значение показателя установлено Указом  Президента РФ от 07.05.2012 № 601 "Об основных направлениях совершенствования системы государственного управления" - не менее 90%.  Постоянной положительной динамики может не быть, т.к. зависит от субъективных оценок конкретных граждан в зависимости от видов услуг, условий , настроения и т.д.</t>
  </si>
  <si>
    <t>По поручению Губернатора Мурманской области принято решение о внедрении СМУТ во всех ОМСУ Мурманской области</t>
  </si>
  <si>
    <t>Государственная программа "Информационное общество"</t>
  </si>
  <si>
    <t>Подпрограмма "Развитие информационного общества и внедрение цифровых технологий"</t>
  </si>
  <si>
    <t>Приобретение объектов недвижимого имущества (нежилое здание с земельным участком) в г. Ковдоре для размещения отделения государственного областного учреждения "Многофункциональный центр предоставления государственных и муниципальных услуг Мурманской области"</t>
  </si>
  <si>
    <t>Минцифра МО, ГОБУ "МФЦ МО"</t>
  </si>
  <si>
    <t>2023 - Приобретение нежилого здания с земельным участком в г. Ковдоре для размещения отделения ГОБУ "МФЦ МО</t>
  </si>
  <si>
    <t>Информация о ходе работ на объектах капитального строительства за 2023 год</t>
  </si>
  <si>
    <t>Общие кассовые расходы по состоянию на 01.01.2023, тыс. рублей</t>
  </si>
  <si>
    <t>За  2023 год, тыс. рублей</t>
  </si>
  <si>
    <t>Выполнено за счет средств 2023 года</t>
  </si>
  <si>
    <t>В целях размещения отделения МФЦ на территории Ковдорского округа и создания для жителей комфортных условий при получении государственных и муниципальных услуг в марте 2023 году в областную собственность было приобретено здание общей площадью 297,2 м2 и земельный участок 1102 м2 по адресу: г. Ковдор, ул. Кошица, д. 4. Здание 2022 года постройки</t>
  </si>
  <si>
    <t>Аппарат Правительства МО, Министерство юстиции МО,  Министерство внутренней политики МО, Министерство строительства МО, Управление по реализации антикоррупционной политики МО, ГОКУ "Представительство Правительства МО", ГОБУ "Автобаза Правительства МО", ГОБУ "Управление по обеспечению деятельности Правительства МО", ГОКУ "Управление капитального строительства МО", АНО "Проектный офис "Арктический Элемент", АНО по развитию конгрессно-выставочной, ярмарочной и информационной деятельности "Мурманконгресс", некоммерческая организация Ассоциация "Совет муниципальных образований Мурманской области"</t>
  </si>
  <si>
    <t>Экономия средств сложилась в результате того, что предоставление в отчетном году из ОБ в МБ субвенций осуществлялось в пределах суммы, необходимой для оплаты денежных обязательств по расходам получателей средств МБ, источником финансового обеспечения которых являются данные субвенции. Также экономия сложилась в связи с заявительным характером мероприятия. Часть мероприятий не выполнены ввиду того, что подрядчиками нарушен срок исполнения по договорам</t>
  </si>
  <si>
    <t>Неполное освоение средств МБ в связи с оплатой завершенных комплексных кадастровых работ в 2024 году</t>
  </si>
  <si>
    <t>Министерство внутренней политики МО, Аппарат Правительства МО, Министерство спорта МО, Министерство строительства МО, Комитет молодежной политики МО, Центр народов Севера, ГОБУ МП, ГАУМО "ЦСП", ГОБУ "Управление по обеспечению деятельности Правительства МО",  ГОКУ "Управление капитального строительства МО", АНО по развитию конгрессно-выставочной, ярмарочной и информационной деятельности "Мурманконгресс", ГОБУ МП "Региональный центр развития добровольчества и поддержки молодежных движений", АНО "Агентство по проведению спортивно-массовых и культурно-зрелищных мероприятий "СпортКульт51"</t>
  </si>
  <si>
    <t>Министерство юстиции МО, ГОКУ "Центр обеспечения судебных участков мировых судей МО"</t>
  </si>
  <si>
    <t>Экономия средств в связи с заявительным характером выплат. Оплата произведена по фактической потребности</t>
  </si>
  <si>
    <t>Сложилась экономия в связи с заявительным порядком возмещения судебных издержек. Частично выполнены работы по разработке ПСД и капитальному ремонту судебного участка мировых судей в связи с нарушением подрядчиком своих обязательств по контракту</t>
  </si>
  <si>
    <t>Министерство информационной политики МО, ГОАУ "Редакция газеты "Мурманский вестник", АНО по развитию конгрессно-выставочной деятельности "Мурманконгресс"</t>
  </si>
  <si>
    <t>Аппарат Правительства МО, Министерство юстиции МО, Министерство внутренней политики МО, Министерство имущественных отношений МО, Министерство спорта МО, Министерство информационной политики МО, Министерство строительства МО, Комитет молодежной политики МО, Управление по реализации антикоррупционной политики МО, ГОКУ "Представительство Правительства Мурманской области", ГОБУ "Автобаза Правительства Мурманской области", ГОБУ "Управление по обеспечению деятельности Правительства Мурманской области", ГОКУ "Управление капитального строительства Мурманской области", ГОБУ "Имущественная казна Мурманской области", ГОКУ "Центр технической инвентаризации", ГОБУМП "Региональный центр патриотического воспитания и допризывной подготовки молодежи", ГОБУ "Мурманский областной центр коренных малочисленных народов Севера и межнационального сотрудничества", ГАУМО "Центр спортивной подготовки", ГОКУ "Центр обеспечения судебных участков мировых судей Мурманской области", ГОАУ "Редакция газеты "Мурманский вестник", АНО по развитию конгрессно-выставочной, ярмарочной и информационной деятельности "Мурманконгресс", ГОБУ МП "Региональный центр развития добровольчества и поддержки молодежных движений", АНО  "Проектный офис "Арктический Элемент", некоммерческая организация Ассоциация "Совет муниципальных образований Мурманской области", АНО "Агентство по проведению спортивно-массовых и культурно-зрелищных мероприятий "СпортКульт51"</t>
  </si>
  <si>
    <t>Доля отрицательных экспертных заключений, по результатам рассмотрения которых органами местного самоуправления в муниципальных нормативных правовых актах устранены несоответствия законодательству (за отчетный период)</t>
  </si>
  <si>
    <t xml:space="preserve"> -</t>
  </si>
  <si>
    <t>Целевой показатель в 2023 году составил 38 % от общего числа принятых на гражданскую службу; 62 % от общего числа назначено без объявления конкурса, в том числе:
- 47 % – на должности высшей, главной, ведущей и старшей групп должностей гражданской службы (по решению представителя нанимателя в 18 ИО МО конкурс не проводился на основании ст. 2 Федерального закона от 04.11.2022 № 424-ФЗ); 
- 15 % – на младшие должности, а также должности, замещаемые на определенный срок (на период отсутствия основного работника).                                      Отсутствие положительной динамики объясняется законодательно установленной возможностью не проводить в 2023 году по решению представителя нанимателя конкурс при назначении на должности государственной гражданской службы Российской Федерации, относящиеся к высшей, главной, ведущей и старшей группам должностей государственной гражданской службы Российской Федерации (Федеральный закон от 04.11.2022 N 424-ФЗ "О внесении изменений в статьи 22 и 25.1 Федерального закона "О государственной гражданской службе Российской Федерации",  Закон Мурманской области от 26.12.2022 N 2849-01-ЗМО "О внесении изменений в Закон Мурманской области "О государственной гражданской службе Мурманской области")</t>
  </si>
  <si>
    <t>Превышение фактического показателя над плановым значением обусловлено увеличением количества рассмотренных в 2023 году мировыми судьями дел, судебные акты по которым подлежат обязательному опубликованию.</t>
  </si>
  <si>
    <t>Положительные отклонения от плана связаны с тем, что Министерством здравоохранения Мурманской области был взят на особый контроль вопрос  вовлечения в хозяйственный оборот неиспользуемого имущества областными медицинскими учреждениями. В результате активной работы состоялось больше, чем запланировано передач неиспользуемого имущества в сфере здравоохранения в муниципальную собственность.</t>
  </si>
  <si>
    <t>Отклонение произошло за счет увеличения  количества проводимых мероприятий, направленных на укрепление общероссийской идентичности граждан в Мурманской области</t>
  </si>
  <si>
    <t>Высокое качество правовой экспертизы муниципальных нормативных правовых актов, проводимой в рамках ведения регистра муниципальных нормативных правовых актов Мурманской области, позволило обеспечить устранение органами местного самоуправления выявленных несоответствий законодательству по большинству отрицательных экспертных заключений (97,2%) и превысить соответствующее значение планового показателя.</t>
  </si>
  <si>
    <t xml:space="preserve">Министерство внутренней политики МО                   </t>
  </si>
  <si>
    <t>Министерство имущественных отношений МО</t>
  </si>
  <si>
    <t>За 2023 год приведены оценочные (прогнозные) данные - согласно разделу 9 постановления Правительства Мурманской области от 11.11.2020 № 793-ПП, дата получения фактических значений показателя - 1 мая года, следующего за отчетным</t>
  </si>
  <si>
    <t>Аппарат Правительства МО</t>
  </si>
  <si>
    <t>Управление по реализации антикоррупционной политики МО</t>
  </si>
  <si>
    <t>Причиной перевыполнения плана явилась возможность привлечения  большего количества слушателей на обучающие мероприятия, проводимые в рамках проекта "Школа местного самоуправления"</t>
  </si>
  <si>
    <t xml:space="preserve">Приказом Министерства юстиции Мурманской области от 10.10.2022 № 92 "Об утверждении плана проведения проверок осуществления органами местного самоуправления муниципальных образований государственных полномочий по организационному обеспечению деятельности административных комиссий на 2023 год" было запланировано проведение проверок 5-ти из 14-ти административных комиссий, образованных на территории Мурманской области . Доля административных комиссий, проверенных на предмет исполнения местными администрациями государственных полномочий по организационному обеспечению деятельности административных комиссий, от общего числа образованных административных комиссий, должна была составить 35,7 %. Приказом Министерства юстиции Мурманской области от 09.01.2023 № 1 "О признании утратившими силу некоторых приказов Министерства юстиции Мурманской области" приказ от 10.10.2022 № 92 был отменен на основании пункта 11(3) постановления Правительства РФ от 10.03.2022 № 336 "Об особенностях организации и осуществления государственного контроля (надзора), муниципального контроля" (в ред. постановления Правительства РФ от 29.12.2022 № 2516), которым было установлено, что в 2023 г. в планы проведения плановых проверок не могут быть включены проверки по осуществлению государственного контроля (надзора) за деятельностью органов местного самоуправления и должностных лиц органов местного самоуправления (включая контроль за осуществлением органами местного самоуправления отдельных государственных полномочий) </t>
  </si>
  <si>
    <t xml:space="preserve">Отклонение сложилось в связи с  увеличением в 2023 году количества правовых актов Губернатора и Правительства области (2060) по сравнению с 2022 годом (2054) , в тоже время уменьшилось количество протестов прокуратуры Мурманской области в 2023 году (3) по сравнению с 2022 годом (10). 
</t>
  </si>
  <si>
    <t>Превышение фактического показателя над плановым значением обусловлено увеличением количества новых категорий граждан, имеющих право на получение бесплатной юридической помощи, а также расширением перечня вопросов, по которым граждане вправе  получать юридическую помощь бесплатно, в связи с принятием Закона Мурманской области от 23.06.2023 № 2899-01-ЗМО "О внесении изменений в статью 10.3 Закона Мурманской области "О государственной системе бесплатной юридической помощи на территории Мурманской области". Отсутствие положительной динамики в 2023 году в сравнении с 2022 годом связано со значительным количеством обращений к адвокатам за оказанием бесплатной юридической помощи участников СВО и членов их семей. Вопросы, по которым обращаются указанные категории граждан, касаются предоставление льгот, социальных гарантий и компенсаций, обеспечения денежным довольствием военнослужащих и предоставления им отдельных выплат в соответствии с Федеральным законом от 07.11.2011 № 306-ФЗ "О денежном довольствии военнослужащих и предоставлении им отдельных выплат", признания граждан из числа участников СВО (за исключением членов их семей), безвестно отсутствующими или объявлении их умершими, наследования имущества умерших (погибших) граждан из числа участников СВО. Решение этих вопросов требует длительного времени, в связи с чем увеличение объемов юридических услуг, фактически оказанных адвокатами участникам СВО и членам их семей, обратившихся за оказанием бесплатной юридической помощи в 2023 году, ожидается в 2024 году</t>
  </si>
  <si>
    <t xml:space="preserve">В результате профилактической работы Управления по реализации антикоррупционной политики Мурманской области, а также служебной деятельности федеральных органов по  предупреждению и пресечению правонарушений и преступлений коррупционной направленности, уровень "бытовой" коррупции снижается опережающими плановые показатели темпами </t>
  </si>
  <si>
    <t xml:space="preserve">В результате профилактической работы Управления по реализации антикоррупционной политики Мурманской области, а также работы федеральных органов по  предупреждению и пресечению правонарушений и преступлений коррупционной направленности, уровень "деловой" коррупции снижается опережающими плановые показатели темпами </t>
  </si>
  <si>
    <t>Результат проведенного Аппаратом Правительства Мурманской области анкетирования: выявлена неудовлетворенность одного из опрошенных ИО МО качеством выполняемой ГОБУ работы</t>
  </si>
  <si>
    <t>Усиление контроля за качеством выполнения работ, установленных государственными заданиями подведомственным учреждениям</t>
  </si>
  <si>
    <r>
      <t xml:space="preserve">В отчетном периоде в мероприятиях по профессиональному развитию приняли участие 1121 ГГС МО, из них: В рамках госзаказа, утвержденного распоряжением Губернатора МО от 17.02.2023 № 37-РГ «Об утверждении государственного заказа на дополнительное профессиональное образование государственных гражданских служащих исполнительных органов Мурманской области на 2023 год», в отчетном периоде обучено 105 гражданских служащих ИО МО.
Помимо этого, вне рамок государственного заказа на ДПО 1016 гражданских служащих приняли участие в различных мероприятиях по профессиональному развитию (некоторые гражданские служащие ИО МО приняли участие в нескольких мероприятиях профессионального развития).                                            В 2023 году обучение вне рамок госзаказа проведено в соответствии с потребностью ИО МО (в 2022 году вне рамок госзаказа в соответствии с поручением Губернатора МО в ИО МО </t>
    </r>
    <r>
      <rPr>
        <b/>
        <sz val="8"/>
        <rFont val="Times New Roman"/>
        <family val="1"/>
        <charset val="204"/>
      </rPr>
      <t>дополнительно</t>
    </r>
    <r>
      <rPr>
        <sz val="8"/>
        <rFont val="Times New Roman"/>
        <family val="1"/>
        <charset val="204"/>
      </rPr>
      <t xml:space="preserve"> проводилось централизованное обучение в сфере противодействия терроризму, одновременно с которым было проведено обучение по оказанию 1 мед. помощи, в связи с чем отсутствует положительная динамика)</t>
    </r>
  </si>
  <si>
    <t xml:space="preserve">В отчетном периоде,  помимо запланированных и реализованных способов вовлечения объектов в хозяйственный оборот (приватизация, аренда, безвозмездное пользование, закрепление), поступившие в казну 9 объектов недвижимого имущества, приобретенных в рамках концессионного соглашения, переданы концессионеру (распоряжения Правительства Мурманской области от 30.12.2022 № 352-РП, от 21.12.2023 № 365-РП). Также было скорректировано в сторону увеличения количество принятых в казну имущественных комплексов котельных, которые впоследствии были приватизированы путем внесения в уставный капитал АО "МЭС". По сравнению с 2022 годом в 2023 году фактическое исполнение данного показателя незначительно снизилось (на 1,47 %) в связи с тем, что планировалась передача концессионеру движимого имущества, однако в отношении него отсутствовали сертификаты качества, в связи с чем акт не был подписан. </t>
  </si>
  <si>
    <t>Увеличение количества организаций на 1 единицу связано с тем, что  в 2023 году в государственную собственность Мурманской области приняты обыкновенные акции АО «Мурманская областная электросетевая компания» в количестве 510899999 штук в соответствии с распоряжением Правительства Мурманской области от 26.05.2023 № 106-РП</t>
  </si>
  <si>
    <t>Сверх запланированного осуществлена регистрация государственной собственности Мурманской области земельных участков в рамках приема в областную собственность муниципальных объектов тепло- и водоснабжения в целях централизации объектов коммунальной структуры, которые являются социально-значимыми и относятся к системе жизнеобеспечения города и области. Показатель нарастающим итогом</t>
  </si>
  <si>
    <t xml:space="preserve">Количество участников мероприятий, направленных на этнокультурное развитие коренных малочисленных народов Российской Федерации
</t>
  </si>
  <si>
    <t>В связи с проведением в 2023 году на территории Мурманской области федеральных проектов: окружного семинара -совещания "Безопасная молодежная среда", окружного  форума добровольцев СЗФО, полуфинала Всероссийского конкурса «Большая перемена», форума «Арктика. Лёд тронулся» и др.</t>
  </si>
  <si>
    <t>В связи с увеличением общего количества мероприятий, где необходимо привлечение волонтерского корпуса</t>
  </si>
  <si>
    <t>Рост показателя связан с  увеличением количества участников мероприятий, направленных на укрепление общероссийского гражданского единства, за счет повышения  количества и качества проводимых мероприятий</t>
  </si>
  <si>
    <t>Рост показателя в связи с увеличением количества участников мероприятий, направленных на этнокультурное развитие народов России, за счет повышения количества и качества проводимых мероприятий</t>
  </si>
  <si>
    <t>В 2023 году была проведена дополнительная работа по информированию жителей Мурманской области о положительных примерах участия в социально-экономическом развитии региона иностранных граждан, в том числе с использованием социальной рекламы</t>
  </si>
  <si>
    <t xml:space="preserve">Уменьшение членов казачьих обществ и, соответственно, доли членов казачьих обществ, принявших на себя обязательства по несению государственной  или иной службы, в связи с ликвидацией реестрового станичного казачьего общества «ЗАТО Александровск» </t>
  </si>
  <si>
    <t>Увеличение количества участников мероприятий, направленных на этнокультурное развитие коренных малочисленных народов Российской Федерации, за счет участия во всероссийских и межрегиональных  мероприятиях</t>
  </si>
  <si>
    <t>Превышение фактического показателя над плановым значением обусловлено выделением дополнительных помещений под архив судебного участка № 2 Александровского судебного района и проведением в нем капитального ремонта</t>
  </si>
  <si>
    <t>66,28</t>
  </si>
  <si>
    <t>Отклонение фактически достигнутого показателя от планового значения показателя произошло по причине изменения ответственного ИО МО за проведение социологического исследования , метода проведения социологического  исследования и  методики расчета показателя</t>
  </si>
  <si>
    <t>Постановлением Правительства РФ от 10.03.2022 № 336 "Об особенностях организации и осуществления государственного контроля (надзора), муниципального контроля" установлено, что при осуществлении государственного контроля (надзора) за деятельностью органов местного самоуправления и должностных лиц органов местного самоуправления (включая контроль за осуществлением органами местного самоуправления отдельных государственных полномочий) в планы проведения плановых проверок плановые проверки не включаются до 2030 года (пункт 11(3). В этой связи постановлением Правительства Мурманской области от 09.02.2024 № 65-ПП "О внесении изменений в государственную программу Мурманской области "Государственное управление и гражданское общество"  плановое значение показателя на  2024 - 2026 годы установлено равным 0</t>
  </si>
  <si>
    <t xml:space="preserve"> Постановлением Правительства Мурманской области от 09.02.2024 № 65-ПП "О внесении изменений в государственную программу Мурманской области "Государственное управление и гражданское общество"  плановое значение показателя на  2024 - 2026 годы установлено равным 15</t>
  </si>
  <si>
    <t>Требуется внесение изменений в государственную программу в части корректировки показателя</t>
  </si>
  <si>
    <t>Снижение получателей ежемесячного пособия, в связи с новым единым пособием Фонда пенсионного и социального страхования Российской Федерации</t>
  </si>
  <si>
    <t>Пересмотреть методику расчёта показателя и состав показателей</t>
  </si>
  <si>
    <t>Предварительные данные. Факт указан на уровне планового значения, поскольку первая оценка 2023 года будет опубликована Мурманскстатом в апреле 2024 года ( в соответствии с Распоряжением Правительства РФ от 06.05.2008 № 671-р).</t>
  </si>
  <si>
    <t xml:space="preserve">Предварительная оценка по данным Росстата. Основная в августе 2024 г. Суммарный коэффициент рождаемости увеличился в связи с эффективным комплексом мер социальной поддержки семьям с детьми. </t>
  </si>
  <si>
    <t>Риски недостижения отсутствуют</t>
  </si>
  <si>
    <t>3.1.5</t>
  </si>
  <si>
    <t>Доля граждан старше трудоспособного возраста и инвалидов, получающих услуги в рамках системы долговременного ухода, от общего числа граждан старшего трудоспособного возраста и инвалидов, нуждающихся в долговременном уходе</t>
  </si>
  <si>
    <t>В отчётном периоде в  региональный реестр поставщиков социальных услуг вошли 2 новых негосударственных организации. В  связи  с  ликвидацией  организаций исключены 2 поставщика социальных услуг.</t>
  </si>
  <si>
    <t>Предварительные данные. Итоговые данные будут после представления статистической отчетности после 30 апреля. Показатель «Соотношение средней заработной платы социальных работников к среднемесячному доходу от трудовой деятельности» за 2023 год выполнен с учетом допустимого отклонения от целевого ориентира (не более 5%) и составил 97,5% при целевом значении 100%</t>
  </si>
  <si>
    <t>Активное информирование граждан о возможности получения такого вида поддержки, заинтересованность граждан в получении мер соцподдержки в данном формате.</t>
  </si>
  <si>
    <t>Введение новых мер социальной поддержки</t>
  </si>
  <si>
    <t xml:space="preserve">В течение года были выделены дополнительные ассигнования на оздоровление </t>
  </si>
  <si>
    <t xml:space="preserve">Обеспечение граждан слуховыми аппаратами носит заявительный характер, осуществляется  в соответствии с фактической численностью обратившихся граждан </t>
  </si>
  <si>
    <t>Оказание социальных услуг по льготному зубопротезированию носит заявительный характер, осуществляется  в соответствии с фактической численностью обратившихся граждан в рамках доведенного государственного задания</t>
  </si>
  <si>
    <t xml:space="preserve">1. Отсутствие контроля за выполнением данного показателя руководителей медицинских организаций
2. Сложная кадровая ситуация в медицинских организациях.
</t>
  </si>
  <si>
    <t xml:space="preserve">Проведение работы с главами муниципальных образований, с целью привлечения  сотрудников организованных коллективов, муниципальных предприятий, населения  МО к проведению профилактических мероприятий.
2.Ежемесячная  актуализация списков пациентов в ЛПУ совместно с ТФОМС- еженедельная передача списков в ЕКЦ – роботизированный обзвон пациентов- пациентов, согласившихся прийти на ПМО и Д,  проактивно приглашают для прохождения диспансеризации ( пациентов трудоспособного возраста  приглашают , преимущественно, в вечернее время и в сб ) – списки с декомпозицией  направляются в отделение /кабинет медицинской профилактики  и на участки для прохождения ПМО и Д.
3. Ежедневный контроль плана графика профилактических мероприятий с заслушиванием руководителей  на ВКС  2 раза неделю.
4. Выезды  в  организованные коллективы,  сельскую местность с целью проведения профилактических мероприятий. 
5. Информационная компания в СМИ, социальных сетях с целью  доведения информация до населения о важности прохождения ПМО и диспансеризации.
6. Информирование пациентов о факторах риска, необходимости прохождения диспансеризации, материалы в рамках школы  пациентов на портале здоровый регион 51
</t>
  </si>
  <si>
    <t>Перевыполнение в результате проведения качественного диагностического обследования</t>
  </si>
  <si>
    <t>3.3.7</t>
  </si>
  <si>
    <t>Количество семей отдельных категорий граждан Российской Федерации, обеспеченных жильем</t>
  </si>
  <si>
    <t>тысяча семей</t>
  </si>
  <si>
    <t xml:space="preserve">В 2023 году в Мурманской области жильем обеспечены 195 чел. (77,6 % от плана, план – 251 чел.), из них:
- в г. Мурманске – 128 чел. (78 % от плана), в Кандалакшском районе – 10 чел. (76,9 % от плана), в Кольском районе – 6 чел. (85,7 % от плана), в Ковдорском районе – 7 чел. (100 % от плана), в г. Апатиты – 9 чел. (75 % от плана), в г. Кировске – 7 чел. (63,6 % от плана), в г. Мончегорске – 9 чел. (100 % от плана), в Печенгском округе – 1 чел. (50 % от плана), в ЗАТО г. Североморск – 4 чел. (100 % от плана), в г. Оленегорске – 8 чел. (100 % от плана и дополнительно обеспечен 1 чел.), в г. Полярные Зори – 2 чел. (100 % от плана), в Ловозерском районе – 1 чел. (33 % от плана), 
- в ЗАТО Александровск – 2 чел. (66 % от плана), в ЗАТО п. Видяево – 1 чел. (100% от плана). Основной причиной неисполнения запланированного показателя администрацией г. Мурманска является признание аукционов по закупке жилья для детей-сирот несостоявшимися, в других муниципалитетах сроки предоставления жилья перенесены по заявлениям детей-сирот.
</t>
  </si>
  <si>
    <t xml:space="preserve">В 2024 году планируется помимо закупок квартир для детей-сирот в соответствии с требованиями Федерального закона от 05.04.2013 № 44-ФЗ  "О контрактной системе в сфере закупок товаров, работ, услуг для обеспечения государственных и муниципальных нужд", предоставить 32 квартиры для детей-сирот в новостройке г. Мурманска по улице Успенского, а также предоставить гражданам из числа детей-сирот, достигшим возраста 23 лет, выплату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(в 2023 году на предоставление данной выплаты заявлены 3 человека (г. Кировск, г. Мурманск, г. Мончегорск).  </t>
  </si>
  <si>
    <t xml:space="preserve">Фактически по договорам найма специализированных жилых помещений в 2023 году обеспечены жильем 114 человек из числе детей-сирот, из них приобретенными за счет средств субвенции 2023 года 83 чел. Кроме того, за счет средств жилищного сертификата Мурманской области обеспечены квартирами 81 чел. Таким образом, общее число обеспеченных в 2023 году жилыми помещениями детей-сирот составляет 195 человек, что превышает плановый показатель.   </t>
  </si>
  <si>
    <t xml:space="preserve">Органами местного самоуправления региона с 1 января по 31 декабря 2023 года  проведена работа по предоставлению детям-сиротам жилищных сертификатов Мурманской области, с 5 февраля 2024 года работа по предоставлению гражданам из числа детей-сирот, достигшим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будет продолжена. 
</t>
  </si>
  <si>
    <t xml:space="preserve">Дальнейшая реализация программы по подготовке лиц, желающих осуществлять социальный патронат. </t>
  </si>
  <si>
    <t xml:space="preserve">Причиной перевыполнения плана является экономия средств на аукционах по закупке квартир для детей-сирот, за счет чего стало возможным обеспечение 13 лиц из числа детей-сирот жилыми помещениями за счет средств федерального бюджета вместо плановой численности по соглашению - 6 чел. </t>
  </si>
  <si>
    <t>Некоторые мероприятия носят заявительный характер, в связи с чем не выполнены или выполнены частично</t>
  </si>
  <si>
    <t>Часть мероприятий по предоставлению мер поддержки выполнены частично в связи с их заявительным характером</t>
  </si>
  <si>
    <t>Число посещений мероприятий организаций культуры</t>
  </si>
  <si>
    <t>Уровень обеспеченности субъектов Российской Федерации организациями культуры</t>
  </si>
  <si>
    <t>Доля зданий учреждений культуры, находящихся в удовлетворительном состоянии,
в общем количестве зданий данных учреждений</t>
  </si>
  <si>
    <t>Количество созданных (реконструированных) и капитально отремонтированных объектов организаций культуры</t>
  </si>
  <si>
    <t>Количество организаций культуры, получивших современное оборудование</t>
  </si>
  <si>
    <t>Отношение средней заработной платы работников учреждений культуры к
среднемесячной начисленной заработной плате наемных работников в
организациях, у индивидуальных предпринимателей и физических лиц
(среднемесячному доходу от трудовой деятельности)</t>
  </si>
  <si>
    <t>5.0.3</t>
  </si>
  <si>
    <t>5.0.4</t>
  </si>
  <si>
    <t>5.0.5</t>
  </si>
  <si>
    <t>5.0.6</t>
  </si>
  <si>
    <t>5.0.7</t>
  </si>
  <si>
    <t>5.0.8</t>
  </si>
  <si>
    <t>миллион единиц</t>
  </si>
  <si>
    <t xml:space="preserve">Превышение планового значения показателя обусловлено проведением активной работы по привлечению населения к мероприятиям проводимыми учреждениями культуры. </t>
  </si>
  <si>
    <t>Оценка на уровне планового значения. Сведения не ранее 01.04.2024</t>
  </si>
  <si>
    <t>Оценка на уровне планового значения. Плановое значение показателя на 2023 год установлено пунктом 2.4 постановления Правительства МО от 26.02.2024 № 110-ПП, который распространяется на правоотношения, возникшие с 28.12.2023</t>
  </si>
  <si>
    <t xml:space="preserve">Оценка. Степень достижения показателя рассчитана по данным ведомственного мониторинга Министерства культуры Мурманской области (стат. форма № ЗП-культура, утверждена приказом Росстата от 31.07.2023 № 366).
Данные Росстата за январь-декабрь 2023 появятся ориентировочно в апреле 2024 года.
</t>
  </si>
  <si>
    <t xml:space="preserve">В рамках мероприятий, посвященных  разгрому немецко-фашистских войск в Советском Заполярье, реализованы  дополнительные мероприятия на объектах культурного наследия, расположенных на территории Печенгского района Мурманской </t>
  </si>
  <si>
    <t>Отсутствие положительной динамики обусловлено уточнением Росархивом методики подсчета пользователей архвной информацией - участников информационных мероприятий, проводимых областными государственными архивами</t>
  </si>
  <si>
    <t>5.2.4</t>
  </si>
  <si>
    <t>Количество новых книг, поступивших в фонды библиотек муниципальных образований и государственных общедоступных библиотек субъектов Российской
Федерации</t>
  </si>
  <si>
    <t>Превышение фактического значения показателя над плановым обусловлено выделением из областного бюджета дополнительного финансирования для закупки книг в рамках модернизации учреждений  пространств  СОПКИ, СОПКИ.СЕМЬЯ</t>
  </si>
  <si>
    <t>5.3.9</t>
  </si>
  <si>
    <t>5.3.10</t>
  </si>
  <si>
    <t>Количество региональных и муниципальных театров, учреждений культурно-досугового типа, в которых созданы новые постановки и (или) обеспечено развитие и укрепление материально-технической базы, а также учреждений культуры и образовательных организаций в сфере культуры, получивших государственную символику Российской Федерации</t>
  </si>
  <si>
    <t>Количество поддержанных творческих инициатив и проектов</t>
  </si>
  <si>
    <t>Оценка. Окончательные данные до 05.10.2024. Отрицательная динамика по отношению к 2022 году связана со значительным сокращением участия представителей региона в конкурсных мероприятиях регионального, всероссийского и международного уровней, проводимых в онлайн формате</t>
  </si>
  <si>
    <t xml:space="preserve">Фактическое значение показателя ниже планового значения в связи с выездном в Приморск, а также аварией на площадке выездного спектакля (Никель) и как следствие отменой МОТК 5 гастрольных спекателей в область. Отрицательная динамика обусловлена высоким значением показателя за 2022 год относительно 2021
</t>
  </si>
  <si>
    <t xml:space="preserve">Численность населения Мурманской области на 01.01.2024 года составляет 657,1 тыс. чел. За отчетный период культурно-досуговые учреждения посетили 3298 тыс. чел. Превышение планового значения показателя обусловлено проведением активной работы по привлечению населения к мероприятиям проводимыми учреждениями культуры. </t>
  </si>
  <si>
    <t>В расчете фактического значения показателя за 2022 год допущена ошибка. Фактическое значение составляет 17,6 %. Отрицательная динамика обусловлена меньшим количеством участников соответствующих критериям отбора.</t>
  </si>
  <si>
    <t>В 2023 году внесено изменение в Положение - по решению конкурсной комиссии премии, которые были не распределены, присуждаются лауреатам из других направлений по итогам открытого голосования членов конкурсной комиссии. В отчетном году кандидатура от Союза архитекторов была не предоставлена.</t>
  </si>
  <si>
    <t>по 2ум не расчитывается К1</t>
  </si>
  <si>
    <t>В связи с незавершением строительно-монтажных работ по объекту "Реконструкция здания государственного областного бюджетного учреждения культуры "Мурманский областной краеведческий музей" продлен срок исполнения обязательств по контракту на приобретение и установку стационарной экспозиции музея (заключено доп соглашение)</t>
  </si>
  <si>
    <t>Невыполнение ряда мероприятий и неполное освоение денежных средств связано с переносом срока проведения работ на объектах в связи с логистической задержкой поставки необходимых стройматериалов; корректировкой сметной и проектной документации; сложившемся дефицитом цемента в регионе, который повлек за собой сбои поставки бетонных смесей и, как следствие, оказал влияние на графики производства работ</t>
  </si>
  <si>
    <t>Государственная программа 12. "Транспортная система"</t>
  </si>
  <si>
    <t>% к 2017 году</t>
  </si>
  <si>
    <t>Доля автомобильных дорог регионального и межмуниципального значения, соответствующих нормативным требованиям</t>
  </si>
  <si>
    <t>12.1.5</t>
  </si>
  <si>
    <t>Протяженность участков региональных автомобильных дорог, на которых выполнены работы по устройству стационарного электрического освещения</t>
  </si>
  <si>
    <t>Доля дорожной сети городских агломераций, находящейся в нормативном состоянии</t>
  </si>
  <si>
    <t>Доля отечественного оборудования (товаров, работ, услуг) в общем объеме закупок</t>
  </si>
  <si>
    <t>Доля объектов, на которых предусматривается использование новых и наилучших технологий, включенных в Реестр</t>
  </si>
  <si>
    <t>Доля контрактов жизненного цикла, предусматривающих выполнение работ по строительству, реконструкции, капитальному ремонту автомобильных дорог регионального (межмуниципального) значения</t>
  </si>
  <si>
    <t>Доля автомобильных дорог регионального значения, входящих в опорную сеть, соответствующих нормативным требованиям</t>
  </si>
  <si>
    <t>Количество снесенных объектов капитального строительства</t>
  </si>
  <si>
    <t xml:space="preserve">% </t>
  </si>
  <si>
    <t>тыс. пог. метров</t>
  </si>
  <si>
    <t>Решение заказчика об одностороннем отказе от исполнения государственного контракта на устройство освещения на автоподъезде к Лейпи в связи с нарушением подрядной организацией сроков выполнения работ</t>
  </si>
  <si>
    <t>Объем выполненной работы городским электрическим и автомобильным транспортом на городских маршрутах</t>
  </si>
  <si>
    <t>12.2.3</t>
  </si>
  <si>
    <t xml:space="preserve">Число погибших в дорожно-транспортных происшествиях, человек на 10 тысяч транспортных средств
</t>
  </si>
  <si>
    <t>Государственная программа Мурманской области "Транспортная система"</t>
  </si>
  <si>
    <t>По ряду мероприятий сложилась экономия по результатам конкурсных процедур. По некоторым мероприятиям перенесены сроки работ на более поздний срок в связи с отсутствием положительного заключения экспертизы проектной документации или в целом изменения этапов работ</t>
  </si>
  <si>
    <t>Министерство транспорта и дорожного хозяйства МО, ГОКУ Мурманскавтодор, муниципальные образования Мурманской области</t>
  </si>
  <si>
    <t>Министерство транспорта и дорожного хозяйства МО, ОМСУ, автотранспортные предприятия, авиационные предприятия, предприятия морского транспорта, предприятия железнодорожного транспорта</t>
  </si>
  <si>
    <t>Министерство транспорта и дорожного хозяйства МО, Министерство региональной безопасности МО, ГАОУМОДОД "МОЦДОД "Лапландия", ГОКУ Мурманскавтодор, УГИБДД УМВД России по Мурманской области, ГОКУ "Управление по делам ГО ЧС и ПБ Мурманской области"</t>
  </si>
  <si>
    <t>Сложилась экономия по результатам конкурсных процедур</t>
  </si>
  <si>
    <t>Мероприятие выполнено частистично в связи с переносом закупки ПО на январь 2024 года</t>
  </si>
  <si>
    <t>Министерство транспорта и дорожного хозяйства МО, Министерство образования и науки МО, Министерство региональной безопасности МО, ГОКУ Мурманскавтодор, ГАОУМОДОД "МОЦДОД "Лапландия", УГИБДД УМВД России по Мурманской области, ГОКУ "Управление по делам ГО ЧС и ПБ Мурманской области", муниципальные образования Мурманской области</t>
  </si>
  <si>
    <t>Государственная программа Мурманской области "Транспортная система" (Минтранс МО)</t>
  </si>
  <si>
    <t>Степень освоения средств ОБ выше 100% в связи с выделением средств из резервного фонда Правительства Мурманской области (ППМО от 23.12.2023 № 1016-ПП) для предоставления субсидии ГОУСП «Тулома» на финансовое обеспечение затрат на обновление, восстановление и модернизацию основных средств. В плановые значения ГП изменения не были внесены (не приведено к СБР)</t>
  </si>
  <si>
    <t>Превышение планируемого объема средств ВБС обусловлено выпуском ценных видов водных биоресурсов в рамках внебюджетного финансирования компенсационных мероприятий</t>
  </si>
  <si>
    <t>Средства израсходованы по фактической потребности. Невыполнено мероприятие по текущему ремонту в помещениях приюта для животных в связи с переносом окончания работ на более поздний срок</t>
  </si>
  <si>
    <t>МРСХ МО, Минстрой МО, администрация Ковдорского района</t>
  </si>
  <si>
    <t>Сложилась экономия в результате закупочных процедур</t>
  </si>
  <si>
    <t xml:space="preserve">МПР МО, Комитет по ветеринарии МО, Минстрой МО, адм. муниципальных образований сельских поселений МО, организации и предприятия АПК, КФХ,  кооперативы     </t>
  </si>
  <si>
    <t>Подпрограмма 5 "Комплексное развитие сельских территорий"</t>
  </si>
  <si>
    <t xml:space="preserve">Необходимо уменьшать показатель. </t>
  </si>
  <si>
    <t xml:space="preserve">Показатель планируется к исключению (замене) как неинформативный </t>
  </si>
  <si>
    <t>Приведено плановое значение. Срок получения сведений за 2023 год - не ранее 1 апреля 2023 года</t>
  </si>
  <si>
    <t>Показатель откорректирован в соответствии с федеральной ГП</t>
  </si>
  <si>
    <t>10.1.5</t>
  </si>
  <si>
    <t>Количество водно-болотных угодий, имеющих международное значение, для которых определены границы и разработан проект положения</t>
  </si>
  <si>
    <t>Площадь лесных пожаров на землях лесного фонда</t>
  </si>
  <si>
    <t>га</t>
  </si>
  <si>
    <t>Заключение новых договоров</t>
  </si>
  <si>
    <t>Количество подготовленной проектно-сметной документации по ремонту гидротехнических сооружений</t>
  </si>
  <si>
    <t>Мероприятия по закреплению на местности специальными информационными знаками границ ВЗ и ПЗП водных объектов проведены на участках водоемов и водотоков общей протяженностью 161,71 км</t>
  </si>
  <si>
    <t>Мероприятие не проводилось</t>
  </si>
  <si>
    <t>Перенесено</t>
  </si>
  <si>
    <t>Количество ликвидированных
несанкционированных свалок в границах городов</t>
  </si>
  <si>
    <t>Общая площадь восстановленных, в том числе рекультивированных, земель, подверженных негативному воздействию накопленного вреда окружающей среде</t>
  </si>
  <si>
    <t>Численность населения, качество жизни которого улучшится в связи с ликвидацией выявленных на 1 января 2018 г. несанкционированных свалок в границах городов и наиболее опасных объектов накопленного экологического ущерба</t>
  </si>
  <si>
    <r>
      <t xml:space="preserve">ö </t>
    </r>
    <r>
      <rPr>
        <b/>
        <sz val="11"/>
        <rFont val="Times New Roman"/>
        <family val="1"/>
        <charset val="204"/>
      </rPr>
      <t>=</t>
    </r>
  </si>
  <si>
    <t>ö</t>
  </si>
  <si>
    <t xml:space="preserve">В силу экономических факторов </t>
  </si>
  <si>
    <t xml:space="preserve">Неисполнение (несвоевременное
исполнение) контрагентом обязательств по
поставке товаров, выполнении работ, оказании услуг в рамках мероприятия "Рекультивация городской свалки твердых отходов, расположенной по адресу: Мурманская область, муниципальное образование город Мурманск, сооружение 1" </t>
  </si>
  <si>
    <t xml:space="preserve">Внесение изменений в ГП после и в случае изменения РП "Чистая страна" </t>
  </si>
  <si>
    <t>Минприроды МО,
Минстрой МО</t>
  </si>
  <si>
    <t>Доля привлеченных к ответственности лиц за нарушения законодательства в области охоты и сохранения охотничьих ресурсов, в области охраны и использования объектов животного мира к общему количеству возбужденных дел об административных правонарушениях</t>
  </si>
  <si>
    <t>Экономия по результатам закупочных процедур. Невыполнение мероприятия в связи с расторжением контракта на работы в целях определения границ и доработки предоставленного Заказчиком проекта положения о водно-болотном угодье международного значения «Кандалакшский залив Белого моря» из-за невыполнения условий договора со стороны Исполнителя</t>
  </si>
  <si>
    <t>Экономия по результатам закупочных процедур. Также неполное освоение средств и частичное выполнение мероприятий связано с тем, что лесопользователи выполняли работы в соответствии с планами освоения лесов</t>
  </si>
  <si>
    <t>МПР МО, Минэнерго и ЖКХ МО, Минстрой МО,
администрации муниципальных образований, ФГУП "Предприятие по обращению с радиоактивными отходами "РосРАО", ФГБУ "ВНИИ Экология"</t>
  </si>
  <si>
    <t>Невыполнение мероприятия (частичное выполнение) связано с  расторжением контракта из-за недобросовестного исполнения обязательств исполнителем контракта</t>
  </si>
  <si>
    <r>
      <t>Данные предварительные (оценка) по данным Единой межведомственной информационно-статистической системы (ЕМИСС), данный показатель представляется 15 июня года, следующего за отчетным. Высокий уровень показателя объясняется старением населения, миграционной убылью</t>
    </r>
    <r>
      <rPr>
        <sz val="11"/>
        <color indexed="10"/>
        <rFont val="Times New Roman"/>
        <family val="1"/>
        <charset val="204"/>
      </rPr>
      <t xml:space="preserve">. </t>
    </r>
  </si>
  <si>
    <t>Министерством здравоохранения Мурманской области ежемесячно проводится анализ динамики и  причин смертности населения региона, еженедельно - видеоселекторные совещания со специалистами медицинских организаций.
Для снижения показателей смертности разработаны планы по снижению смертности от онкологических заболеваний, цереброваскулярных болезней, болезней органов дыхания, туберкулеза, болезней органов пищеварения, от транспортных несчастных случаев, младенческой смертности. Осуществляется вакцинация населения.</t>
  </si>
  <si>
    <t xml:space="preserve">Данные предварительные (оценка) по данным Единой межведомственной информационно-статистической системы (ЕМИСС), данный показатель представляется 15 июня года, следующего за отчетным. </t>
  </si>
  <si>
    <t xml:space="preserve">Данные предварительные (оценка) по данным Единой межведомственной информационно-статистической системы (ЕМИСС), данный показатель представляется 21 августа года, следующего за отчетным. Высокий уровень показателя объясняется старением населения, миграционной убылью. </t>
  </si>
  <si>
    <t>Мероприятия по снижению смертности населения Мурманской области на 2023-2024 гг. отражены в соответствующем плане, утвержденном приказом Министерства здравоохранения Мурманской области от 28.11.2023 № 759/1 «О утверждении плана мероприятий по снижению смертности населения  Мурманской области»</t>
  </si>
  <si>
    <t>Данные предварительные (оценка) по данным Единой межведомственной информационно-статистической системы (ЕМИСС), данный показатель представляется 21 августа года, следующего за отчетным.</t>
  </si>
  <si>
    <t>Оценка (оценочное значение установлено выше планового из-за увеличения количества умерших, уточненные данные будут предоставлены после 21 августа 2024 года). Данные рассчитаны с учетом анализа фактических показателей прошлых лет и прогнозного значения за 2023 г.</t>
  </si>
  <si>
    <t xml:space="preserve">Влияние на увеличение розничной продажи алкогольной продукции (по отношению к плановому значению) оказывает растущий туристический поток </t>
  </si>
  <si>
    <t>Проведение профилактической работы по пропаганде здорового образа жизни</t>
  </si>
  <si>
    <t>Выбытие детей из стационарных учреждений до завершения диспансеризации</t>
  </si>
  <si>
    <t>Уменьшение количества запланированных на диспансеризацию детей (коррекция планов-графиков)</t>
  </si>
  <si>
    <t>Показатель перевыполнен благодаря санитарно-просветительской работе о необходимости проведения плановых осмотров на туберкулез</t>
  </si>
  <si>
    <t xml:space="preserve">Показатель перевыполнен благодаря санитарно-просветительской работе о необходимости проведения плановой вакцинации против вирусного гепатита B </t>
  </si>
  <si>
    <t>Отказы родителей, временные медицинские отводы</t>
  </si>
  <si>
    <t>Популяризация иммунизации. По СанПиН 3.3686-21 "Санитарно-эпидемиологические требования по профилактике инфекционных болезней" данный показатель выполняется (больше 95%)</t>
  </si>
  <si>
    <t xml:space="preserve">Показатель перевыполнен благодаря санитарно-просветительской работе о необходимости проведения вакцинации против кори </t>
  </si>
  <si>
    <t xml:space="preserve">Уменьшение доли пациентов, обращающихся за помощью в течение первых 12 часов после начала инфаркта </t>
  </si>
  <si>
    <t>Улучшение показателя за счет открытия регионального сосудистого отделения на базе ГОБУЗ МОКМЦ.</t>
  </si>
  <si>
    <t>С 2023 года (ППМО № 490-ПП от 05.07.2023) единицы измерения показателя изменены (с ед. на тыс. ед.), приведены в соответствие с паспортом РП «Борьба с сердечно-сосудистыми заболеваниями».
Перевыполнение связано с закупкой дополнительных ангиографов в ГОБУЗ МОКМЦ, ММЦ им. Н.И. Пирогова, в связи с этим повысилась доступность для граждан данного вида лечения.</t>
  </si>
  <si>
    <t xml:space="preserve">Низкая приверженность населения к прохождению профилактических осмотров. </t>
  </si>
  <si>
    <t xml:space="preserve">Превышение показателя в целом связано с ростом доли пациентов с ЗНО, выявленных в запущенной 4 стадии, как в 2020 году (22,5%)  и 2021 году (22,3%), так и в 2022 году (20,7%) по сравнению с 2019 годом (18,3%), что обусловлено последствиями COVID-19.
Отмечается превышение показателя по муниципальным образованиям области: Кольский, Ловозерский, Кандалакшский и Терский районы, Ковдорский округ, г. Мончегорск, г. Апатиты, г. Кировск, ЗАТО Александровск. К основным причинам невыполнения показателя по муниципальным образованиям относятся:
1. Кадровый дефицит специалистов, участвующих в диагностике и лечении злокачественных новообразований на амбулаторно-поликлиническом уровне, в том числе врачей-онкологов, эндоскопистов, рентгенологов, рентген-лаборантов, патологоанатомов, врачей ультразвуковой диагностики.
2. Недостаточная онконастороженность медицинского персонала первичной медицинской сети.
3. Удаленность отдельных населенных пунктов от ПОК и ЦАОП (ЗАТО Островной, Терский район, Кандалакшский район, Ковдорский округ, Кольский район).
4. Недостаточный контроль участковыми врачами за диспансерной группой населения с онкологическими заболеваниями, в том числе за выполнение плана диспансерного наблюдения по участку в соответствии с контрольной картой диспансерного наблюдения.
</t>
  </si>
  <si>
    <t xml:space="preserve">1. Работа по привлечению кадров.  2. Информирование страховыми медицинскими организациями застрахованных граждан, страдающих онкологическими заболеваниями, находящихся под диспансерным наблюдением, о необходимости явки в поликлинику для диспансерного осмотра.  3. Организованы ЦАОП в ГОБУЗ «МОКБ им. П.А. Баяндина», ГОАУЗ «Мончегорская ЦРБ», ГОБУЗ «Апатитско-Кировская ЦГБ». В ЦАОП получили медицинскую помощь 16521 пациент.  4. С целью совершенствования оказания онкологической помощи населению Мурманской области, в рамках порядка оказания медицинской помощи по профилю «Онкология», утвержденного приказом Минздрава России от 19.02.2021 № 116н, с учетом методических рекомендаций по организации центров амбулаторной онкологической помощи в субъектах Российской Федерации, утвержденных Минздравом России от 16.08.2021, в соответствии с замечаниями курирующего Мурманскую область по профилю «Онкология» национальным медицинским исследовательским центром ФГБУ «НМИЦ онкологии им. Н.Н. Блохина» Минздрава России при согласовании Порядка маршрутизации, региональной программы «Борьба с онкологическими заболеваниями» принято решение об изменении маршрутизации, реорганизации онкологической помощи, посредством прекращения функционирования с мая 2023 года первичных онкологических кабинетов в ГОБУЗ «МГП № 1», ГОБУЗ «МГП № 2», организации онкологической помощи всем жителям г. Мурманска на базе ЦАОП ГОБУЗ «МОКБ им. П.А. Баяндина».  5. Закуплен комплекс оборудования для проведения лучевой терапии и радиохирургии: система лучевой терапии Halcyon  (6 МэВ), система лучевой терапии TrueBeam (10 МэВ).  6. Осуществляется необходимое лекарственное обеспечение онкологических пациентов.  7. Расширен объем и спектр иммуногистохимических и  молекулярно–генетических исследований с целью уточнения диагноза ЗНО.   8. Внедрена видеодистанционная консультативная помощь врачам медицинских учреждений области, организованы видеоконсультации со специалистами федеральных клиник.
</t>
  </si>
  <si>
    <t>Данные предварительные (оценка) по данным Единой межведомственной информационно-статистической системы (ЕМИСС), данный показатель представляется 22 июня года, следующего за отчетным.</t>
  </si>
  <si>
    <t xml:space="preserve">В конце 2023 года родились дети, которым аудиологический скрининг (по медицинским показаниям) проведен по индивидуальному графику (недоношенные дети проходят аудиологический скрининг через 1 месяц, в некоторых случаях через 2-3 месяца после рождения). Таким образом, часть детей, рожденных в 2023 году, не попала в выборку для расчета охвата аудиологическим скринингом в отчетном периоде. </t>
  </si>
  <si>
    <t>Увеличение охвата диспансерным наблюдением недоношенных детей позволит достичь установленное плановое значение показателя</t>
  </si>
  <si>
    <t>В 2023 году планировалось отремонтировать 17 объектов. В связи с недобросовестным исполнением подрядчиком своих обязательств согласно контракту, работы до конца 2023 годы на объекте "Капитальный ремонт помещений здания ГП №1 (ул. Шмидта,41/9)" выполнены не были.</t>
  </si>
  <si>
    <t>Ежедневный контроль Заказчиком (УКС) и специалистами учреждения за проведением работ.</t>
  </si>
  <si>
    <t>11.12.2023 заключен контракт с ед. поставщиком по завершению реконструкции детской поликлиники ГОБУЗ «Кольская ЦРБ». Завершение работ согласно контракту 20.12.2023. Работы в срок не завершены. В соответствии с разработанной проектной документацией, получившей положительное заключение государственной экспертизы, реконструкция объекта  составляет 9 месяцев, в том числе подготовительный период 1 месяц.  
Учитывая выполнение работ по благоустройству, которые носят сезонный характер, завершение работ подрядной организацией на объекте планируется в июле 2024 года.</t>
  </si>
  <si>
    <t xml:space="preserve"> Контроль закупочной деятельностью, взаимодействие с Министерством строительства МО</t>
  </si>
  <si>
    <t>Перевыполнение показателя в связи с фактической потребностью за счет экономии, образовавшейся по результатам закупочных процедур</t>
  </si>
  <si>
    <t>Усилить контроль за деятельностью подведомственных учреждений в рамках данного мероприятия</t>
  </si>
  <si>
    <t>Перевыполнение показателя обусловлено активной кадровой политикой</t>
  </si>
  <si>
    <t xml:space="preserve">С 2023 года (ППМО № 490-ПП от 05.07.2023) единицы измерения показателя изменены (с чел. на тыс. чел.), приведены в соответствие с паспортом РП «Регионального Проекта «Обеспечение медицинских организаций системы здравоохранения квалифицированными кадрами». Увеличение показателя связано с тем что, система  НМО отличает непрерывность, удобство, использование инновационных технологий (дистанционные, электронные, симуляционные технологии), а также возможность выстраивания персональной траектории обучения, что обеспечивает получение знаний, умений, навыков и компетенций, соответствующих потребностям специалистов. </t>
  </si>
  <si>
    <t>На законодательном уровне предусмотрены единовременные денежные выплаты медицинским работникам для привлечения специалистов в Мурманскую область</t>
  </si>
  <si>
    <t xml:space="preserve"> Внесение изменений в государственную программу в части корректировки значений целевого показателя</t>
  </si>
  <si>
    <t>Услуга носит заявительный характер. Обратилось большее количество заявителей, чем планировалось</t>
  </si>
  <si>
    <t xml:space="preserve">Доступность дошкольного образования для детей в возрасте до 3 лет
</t>
  </si>
  <si>
    <t xml:space="preserve">Доля выпускников общеобразовательных организаций, не сдавших ЕГЭ по обязательным предметам
</t>
  </si>
  <si>
    <t xml:space="preserve">Доля выпускников образовательных организаций, реализующих программы среднего профессионального образования, занятых по виду деятельности и полученным компетенция
</t>
  </si>
  <si>
    <t xml:space="preserve">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(нарастающим итогом)
</t>
  </si>
  <si>
    <t xml:space="preserve">Доля обучающихся, обеспеченных бесплатным питанием в образовательных организациях, из общей численности обучающихся, имеющих право на обеспечение бесплатным питанием
</t>
  </si>
  <si>
    <t>Доступность дошкольного образования для детей в возрасте от 3 до 7 лет</t>
  </si>
  <si>
    <t>2.0.7</t>
  </si>
  <si>
    <t>2.0.8</t>
  </si>
  <si>
    <t>2.0.9</t>
  </si>
  <si>
    <t>2.0.10</t>
  </si>
  <si>
    <t>Реализация комплекса мер, направленных на повышение качества общего образования: поддержка школ с низкими образовательными результатами (учебно-методическая, повышение квалификации, грантовая поддержка реализации программ повышения качества образования), грантовая поддержка реализации инновационных проектов и программ, гранты на поощрение образовательных организаций, в том  числе на повышение квалификации педагогов), разработка и реализация планов повышения качества образования на региональном, муниципальном и институциональном уровнях.
Снижение показателя по сравнению с 2022 годом вызвано отказом 2-х участников ЕГЭ пересдавать математику (базовый уровень) в дополнительный сентябрьский период, которые на основании аттестата об основном общем образовании поступили в учреждения СПО</t>
  </si>
  <si>
    <t>Внедрение новой формы информационной поддержки дополнительного образования (размещение на портале Региональный навигатор.51 программ дополнительного образования, реализуемых колледжами)</t>
  </si>
  <si>
    <t>Активное участие обучающихся в олимпиадах и конкурсах регионального уровня (увеличение численности участников мероприятий по сравнению с прогнозируемым значением)</t>
  </si>
  <si>
    <t>2.1.10</t>
  </si>
  <si>
    <t>Доля обучающихся образовательных организаций, реализующих программы среднего профессионального образования, прошедших демонстрационный экзамен профильного уровня</t>
  </si>
  <si>
    <t>Наличие вакантных должностей преподавательского состава</t>
  </si>
  <si>
    <t xml:space="preserve">Дополнительная помощь обучающимся из числа инвалидов и лиц с ограниченными возможностями здоровья в процессе обучение (тьютеры) </t>
  </si>
  <si>
    <t>В 2023 году 3 областных колледжа стали победителями конкурсного отбора Минпросвещения России на создание на базе образовательных учреждений образовательных или образовательно-производственных кластеров, что не учитывалось при планировании</t>
  </si>
  <si>
    <t>Эффективная работа ЦОПП Мурманской области обеспечила значительное перевыполнение значения показателя, установленного Минпросвещения России</t>
  </si>
  <si>
    <t>Расширение мер поддержки ученых Мурманской области</t>
  </si>
  <si>
    <t xml:space="preserve">Участие в федеральном проекте "Профессионалитет" обеспечило возможность направлять на повышение квалификации большее число педагогов </t>
  </si>
  <si>
    <t>Большое количество выпускников СМО выбирают экзамен профильного уровня (пороговое значение установлено Минпросвещения РФ)</t>
  </si>
  <si>
    <t>Доля руководителей и педагогических работников государственных областных профессиональных образовательных организаций, прошедших обучение по дополнительным профессиональным программам (повышение квалификации или профессиональная переподготовка) (нарастающим итогом)</t>
  </si>
  <si>
    <t>Сведения о достижении значений показателей государственных программ Мурманской области за 2023 год</t>
  </si>
  <si>
    <t>2.2.9</t>
  </si>
  <si>
    <t>2.2.10</t>
  </si>
  <si>
    <t>2.2.11</t>
  </si>
  <si>
    <t xml:space="preserve">Доля общеобразовательных организаций, оснащенных в целях внедрения цифровой образовательной среды
</t>
  </si>
  <si>
    <t xml:space="preserve">Число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(нарастающим итогом)
</t>
  </si>
  <si>
    <t xml:space="preserve">Число общеобразовательных организаций, в которых обновлена материально-техническая база для занятий детей физической культурой и спортом (нарастающим итогом)
</t>
  </si>
  <si>
    <t>Более высокие темпы роста средимесячной заработной платы в иных видах экономической деятельности (установленное пороговое значение 95%)</t>
  </si>
  <si>
    <t>Подготовка предложений в Правительство Мурманской области об увеличении стимулирующих выплат педагогическим работникам</t>
  </si>
  <si>
    <t>Большее число подключенных к сети Интернет образовательных организаций на конец 2023 года, чем прогнозировалось при установлении показателя</t>
  </si>
  <si>
    <t>2.3.9</t>
  </si>
  <si>
    <t>Численность обучающихся, охваченных мероприятиями патриотической и спортивной направленности</t>
  </si>
  <si>
    <t xml:space="preserve">Доля обучающихся, охваченных мероприятиями, организованными советниками директоров по воспитанию и проведенными в общеобразовательных организациях
</t>
  </si>
  <si>
    <t>Доля обучающихся с 5 по 8 класс по общеобразовательным программам и проживающих в Арктической зоне Российской Федерации, посетивших курортные территории в рамках оздоровительной кампании</t>
  </si>
  <si>
    <t>Увеличение количества негосударственных организаций оказывающих услуги в сфере дополнительного образования, а также использования механизма персонифицированного финансирования дополнительного образования детей</t>
  </si>
  <si>
    <t>Увеличение численности детей, охваченных дополнительными общеобразовательными программами технической и естественно-научной направленности в системе образования, в том числе за счет открытия Точек роста, Центров Уникум, ИТ-куба в г. Кировске</t>
  </si>
  <si>
    <t>Привлечение к участию в мероприятиях профилактической направленности большего числа детей</t>
  </si>
  <si>
    <t>Случаи отказа родителей от направления детей  в детские оздоровительные организации, расположенные на юге России, в июне-августе 2023 года</t>
  </si>
  <si>
    <t>Привлечение к участию в мероприятиях большего числа детей</t>
  </si>
  <si>
    <t>Более низкая стоимость путевки согласно коммерческими предложениям, поступившим от оздоровительных организаций и туристических агентств, позволила приобрести путевки на организацию отдыха большего числа детей</t>
  </si>
  <si>
    <t>2.4.3</t>
  </si>
  <si>
    <t xml:space="preserve">Количество государственных и муниципальных образовательных организаций, в которых осуществлен капитальный ремонт
</t>
  </si>
  <si>
    <t>Оценочное значение. Значительное увеличения доли образовательных учреждений, здания которых требуют капитального ремонта, обусловлено изменением подхода к определению потребности в капремонте и отражению указанной потребности в форме № ОО-2, данные которой являются источником для расчета показателя, в целях привлечения средств федерального бюджета в рамках проекта по модернизации школьных систем образования (принято указывать потребность в капремонте не только в случае необходимости восстановления технических характеристик, а при наличии дефектной ведомости с перечнем необходимых ремонтных работ)</t>
  </si>
  <si>
    <t>Увеличение количества объектов, в отношении которых в отчетном году проведены капитальные ремонты</t>
  </si>
  <si>
    <t xml:space="preserve">Министерство здравоохранения Мурманской области, медицинские организации, Министерство строительства Мурманской области, ГОКУ "Управление капитального строительства Мурманской области", Комитет молодежной политики Мурманской области, Министерство региональной безопасности Мурманской области, ТФОМС Мурманской области, НКО, ФКУ «ГБ МСЭ по Мурманской области» Минтруда России, Социальный фонд России, Министерство информационной политики Мурманской области
АНО «Мурманконгресс» </t>
  </si>
  <si>
    <t>Министерство здравоохранения Мурманской области, медицинские организации, Комитет молодежной политики Мурманской области, Комитет по обеспечению безопасности населения Мурманской области, ТФОМС Мурманской области, НКО</t>
  </si>
  <si>
    <t>Министерство здравоохранения Мурманской области, 
ТФОМС Мурманской области,
медицинские организации, НКО</t>
  </si>
  <si>
    <t>Министерство здравоохранения Мурманской области, медицинские организации, 
ТФОМС Мурманской области</t>
  </si>
  <si>
    <t>Министерство здравоохранения Мурманской области, государственные областные учреждения здравоохранения Мурманской области,
профессиональные некоммерческие организации</t>
  </si>
  <si>
    <t>Министерство здравоохранения Мурманской области,  ГОБУЗ "Мурманская областная клиническая больница имени П.А.Баяндина", медицинские организации,  ГООАУ ДПО МОЦПКСЗ, ТФОМС  Мурманской области, ФКУ «ГБ МСЭ по Мурманской области» Минтруда России, Социальный фонд России</t>
  </si>
  <si>
    <t xml:space="preserve">Министерство здравоохранения Мурманской области, медицинские организации, ТФОМС  Мурманской области, АНО «Мурманконгресс» </t>
  </si>
  <si>
    <t>Невыполнение мероприятий в связи со снижением рождаемости в регионе</t>
  </si>
  <si>
    <t xml:space="preserve">Фактическое число человек-получателей выплат в рамках реализации мероприятий сложилось на уровне ниже, чем прогнозировалось.
</t>
  </si>
  <si>
    <t>Продолжительное согласование осуществления строительства на выбранном участке объекта капитального строительства. Функционирование меньшего числа школьных спортивных клубов по сравнению с прогнозируемым значением.</t>
  </si>
  <si>
    <t>Экономия средств сложилась в результате проведения закупочных процедур. Заявительный характер получения мер социальной поддержки. Расторжение контракта с подрядчиком в связи с невыполнением им условий договора по объекту "Школа по переулку Казарменному в городе Мурманске". Отставание от графика выполнения строительных работ на 4 месяца по объекту "Школа по улице Советская в городе Мурманске".</t>
  </si>
  <si>
    <t>Министерство образования и науки МО, профессиональные образовательные организации, ФГАОУ ВО «МАУ»,  ФИЦ КНЦ РАН, вузы, подведомственные государственные образовательные организации, АНО «Проектный офис «Арктический элемент»</t>
  </si>
  <si>
    <t>Министерство образования и науки МО, государственные областные образовательные организации, ГАНОУ МО «ЦО «Лапландия»,  ГОБОУДО МОЗСООПЦ "Гандвиг", органы местного самоуправления, муниципальные образовательные организации, ГАПОУ МО "МКЭиИТ</t>
  </si>
  <si>
    <t>Министерство образования и науки МО, подведомственные государственные областные образовательные организации, Министерство строительства МО, ОМСУ, ГОКУ «Гандвиг»</t>
  </si>
  <si>
    <t>Министерство образования и науки МО,  ГОБОУ Мурманская КШИ № 3, ГОБОУ Минькинская КШИ, ГОБУ Кильдинская КШИ, ГОБОУ Оленегорская КШИ, ГОБОУ Мурманская КШ № 1, ГОБОУ Кандалакшская КШИ, ГОБОУ Мончегорская КШ, ГОБООУ ЗСШИ, ГОБОУ МО «СОШ № 289», ГОБОУДО «МОЗСООПЦ «Гандвиг», ГОБОУ МО КК «Североморский кадетский корпус», ГКОУ МО ВСОШ № 18, социально ориентированные некоммерческие организации Мурманской области, ГАУ ДПО МО «ИРО»,  АНОУ МО «ЦО «Лапландия», ГАУ МО «ЦКО», АНО «Проектный офис «Губернаторский лицей», Министерство строительства МО, ОМСУ, образовательные организации</t>
  </si>
  <si>
    <t>Министерство здравоохранения Мурманской области, подведомственные учреждения, Министерство строительства Мурманской области, ГОКУ «Управление капитального строительства Мурманской области</t>
  </si>
  <si>
    <t>Невыполнение мероприятий в связи с кадровым дефицитом в медицинских организациях и низкими темпами проведения диспансеризации</t>
  </si>
  <si>
    <t>Экономия средств, сложившаяся, в том числе, в результате проведения закупочных процедур. Перенос сроков лечения пациентов, которым необходимо оказание специализированной, в том числе высокотехнологичной, медицинской помощи в медицинских организациях, расположенных за пределами региона. Предъявление на оплату более дорогостоящих случаев лечения пациентов</t>
  </si>
  <si>
    <t xml:space="preserve">Неисполнение подрядчиками взятых на себя обязательств (срыв сроков исполнения контрактов).Экономия средств сложилась в результате проведения закупочных процедур. Перенос сроков получения положительных заключений  государственной экспертизы по ряду объектов капитального строительства
</t>
  </si>
  <si>
    <t>Нарушение сроков исполнения контракта , невыполнение исполнителем условий договоров (ведется претензионная работа). Экономия средств сложилась в результате проведения закупочных процедур</t>
  </si>
  <si>
    <t>Доля граждан в возрасте 3-29 лет, систематически занимающихся физической культурой и спортом, в общей численности граждан данной возрастной категории</t>
  </si>
  <si>
    <t xml:space="preserve">Доля граждан в возрасте от 30 до 54 года включительно (женщины) и до 59 лет включительно (мужчины), систематически занимающихся физической культурой и спортом, в общей численности граждан данной возрастной категории
</t>
  </si>
  <si>
    <t>Доля граждан в возрасте от 55 лет (женщины) и от 60 лет (мужчины) до 79 лет включительно, систематически занимающихся физической культурой и спортом, в общей численности граждан данной возрастной категории</t>
  </si>
  <si>
    <t>Доля граждан трудоспособного возраста, систематически занимающихся физической культурой и спортом</t>
  </si>
  <si>
    <t>Доля лиц с ограниченными возможностями здоровья и инвалидов, систематически занимающихся физической культурой и спортом, в общей численности указанной категории населения, не имеющего противопоказаний для занятий физической культурой и спортом</t>
  </si>
  <si>
    <t xml:space="preserve">Доля сельского населения, систематически занимающегося физической культурой и спортом
</t>
  </si>
  <si>
    <t>4.1.5</t>
  </si>
  <si>
    <t>4.1.6</t>
  </si>
  <si>
    <t>С 2023 года отчет 5-ФК предоставляют организации, реализующие дополнительные образовательные программы спортивной подготовки, разработанные на основе федеральных стандартов спортивной подготовки, их 25,а в 2022 году отчет предоставляли 40 школ</t>
  </si>
  <si>
    <t>Увеличение количества школ реализующих дополнительные образовательные программы спортивной подготовки</t>
  </si>
  <si>
    <t>С 2023 года отчет 5-ФК предоставляют организации, реализующие дополнительные образовательные программы спортивной подготовки, разработанные на основе федеральных стандартов спортивной подготовки, их 25, а в 2022 году отчет предоставляли 40 школ</t>
  </si>
  <si>
    <t xml:space="preserve">Министерство спорта МО и подведомственные учреждения администрации </t>
  </si>
  <si>
    <t>Министерство спорта МО, Минстрой МО,ГОКУ "УКС МО", ГОУП УСДЦ, администрации муниципальных образований</t>
  </si>
  <si>
    <t>Неполное освоение денежных средств в связи с выполнением корректировок в части изменения конструктивных решений по объекту "Строительство крытого бассейна в ЗАТО г. Североморск" (отставание от графика)</t>
  </si>
  <si>
    <t>7.0.4</t>
  </si>
  <si>
    <t xml:space="preserve">Доля благоустроенных дворовых территорий от общего количества дворовых территорий Мурманской области
</t>
  </si>
  <si>
    <t>7.0.5</t>
  </si>
  <si>
    <t>7.0.8</t>
  </si>
  <si>
    <t>7.0.9</t>
  </si>
  <si>
    <t>Среднее значение индекса качества городской среды</t>
  </si>
  <si>
    <t>В 2022 году объем жилищного строительства обусловлен строительством общежития в с. Белокаменка. В 2023 году значение показателя РП "Жилье" достигнуто в полном объеме</t>
  </si>
  <si>
    <t>Отсутствие положительной динамики в сравнении с 2022 годом связано со значительным снижением уровня дополнительного финансирования из областного бюджета</t>
  </si>
  <si>
    <t>Доля МКД, в которых проведен капитальный ремонт</t>
  </si>
  <si>
    <t>Плановый показатель не достигнут в связи с переносом 18 МКД, составляющих недостающую часть показателя, на 2024 год в результате недопуска подрядной организации</t>
  </si>
  <si>
    <t>Выплата носит заявительный характер</t>
  </si>
  <si>
    <t>7.1.8</t>
  </si>
  <si>
    <t xml:space="preserve">Доля населения Мурманской области, обеспеченного качественной питьевой водой из систем централизованного водоснабжения
</t>
  </si>
  <si>
    <t xml:space="preserve"> В муниципальных образованиях Показатели равны нулю, что снижает общий процент Показателей по области. Низкие темпы замены сетей водоснабжения не позволяют довести
качество водоснабжения до нормативных показателей СанПиН. </t>
  </si>
  <si>
    <t>2 семьи отказались от участия в программе по собственному желанию</t>
  </si>
  <si>
    <t xml:space="preserve">Количество многоквартирных домов, в отношении которых выполнено комплексное благоустройство дворовых территорий
</t>
  </si>
  <si>
    <t>7.2.1</t>
  </si>
  <si>
    <t>7.2.2</t>
  </si>
  <si>
    <t>Количество реализованных проектов комплексного благоустройства общественных территорий</t>
  </si>
  <si>
    <t>Выполнение в отчетном финансовом году показателей по мероприятиям, на софинансирование которых направлена субсидия, равных значениям, установленных в Соглашениях о предоставлении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t>
  </si>
  <si>
    <t>7.2.5</t>
  </si>
  <si>
    <t>Наличие схемы территориального планирования Мурманской области в актуальном виде</t>
  </si>
  <si>
    <t>7.2.8</t>
  </si>
  <si>
    <t>Количество обустроенных детских и спортивных площадок</t>
  </si>
  <si>
    <t>нарушение подрядными организациями сроков выполнения работ, необходимость корректировки технической документации</t>
  </si>
  <si>
    <t>усиление контроля со стороны муниципального заказчика</t>
  </si>
  <si>
    <t xml:space="preserve">Количество квадратных метров расселенного непригодного для проживания жилищного фонда (нарастающим итогом)
</t>
  </si>
  <si>
    <t>Количество граждан, расселенных из непригодного для проживания жилищного фонда (нарастающим итогом)</t>
  </si>
  <si>
    <t>В 2023 году заключен контракт на приобретение 19 квартир для расселения 792,2 кв.м. в строящемся жилом доме по ул. Шевченко в городе Мурманске (ООО "Арктикум"). Плановый срок ввода МКД 12.2025 год. Заселение граждан будет осуществляться после ввода дома в эксплуатацию. Также МО ведется работа по заключению договоров найма/мены с гражданами на предоставления им жилых помещений приобретенных на вторичном рынке</t>
  </si>
  <si>
    <t>Подпрограмма 4. "Обеспечение устойчивой деятельности топливно-энергетического комплекса и функционирования коммунальной инфраструктуры Мурманской области и повышения энергетической эффективности"</t>
  </si>
  <si>
    <t>7.4.1</t>
  </si>
  <si>
    <t>Количество построенных и реконструируемых объектов топливно-энергетического комплекса и коммунальной инфраструктуры</t>
  </si>
  <si>
    <t>7.4.5</t>
  </si>
  <si>
    <t>Количество устраиваемой ливневой канализации</t>
  </si>
  <si>
    <t>Не заключены соглашения с муниципалитетами на софинансирование капитальных вложений в линейные объекты муниципальной собственности</t>
  </si>
  <si>
    <t>по 2ум показателям К1 не рассчитывается</t>
  </si>
  <si>
    <t>Подпрограмма 5. "Обеспечение осуществления государственного контроля (надзора) в жилищно-коммунальной сфере"</t>
  </si>
  <si>
    <t>8.2</t>
  </si>
  <si>
    <t>8.2.1</t>
  </si>
  <si>
    <t>8.2.2</t>
  </si>
  <si>
    <t>8.2.3</t>
  </si>
  <si>
    <t>8.2.4</t>
  </si>
  <si>
    <t>8.2.5</t>
  </si>
  <si>
    <t>8.2.6</t>
  </si>
  <si>
    <t>8.2.7</t>
  </si>
  <si>
    <t>8.3</t>
  </si>
  <si>
    <t>8.3.1</t>
  </si>
  <si>
    <t>8.3.2</t>
  </si>
  <si>
    <t>8.3.3</t>
  </si>
  <si>
    <t>9.0.4</t>
  </si>
  <si>
    <t>9.0.5</t>
  </si>
  <si>
    <t>9.0.6</t>
  </si>
  <si>
    <t>9.0.7</t>
  </si>
  <si>
    <t>9.1.5</t>
  </si>
  <si>
    <t>9.3.4</t>
  </si>
  <si>
    <t>9.3.5</t>
  </si>
  <si>
    <t>9.3.6</t>
  </si>
  <si>
    <t>9.3.7</t>
  </si>
  <si>
    <t>9.5</t>
  </si>
  <si>
    <t>9.5.1</t>
  </si>
  <si>
    <t>9.5.3</t>
  </si>
  <si>
    <t>9.5.4</t>
  </si>
  <si>
    <t>9.5.5</t>
  </si>
  <si>
    <t>9.5.6</t>
  </si>
  <si>
    <t>9.5.8</t>
  </si>
  <si>
    <t>9.5.9</t>
  </si>
  <si>
    <t>9.5.10</t>
  </si>
  <si>
    <t>9.5.11</t>
  </si>
  <si>
    <t>9.6</t>
  </si>
  <si>
    <t>9.6.1</t>
  </si>
  <si>
    <t>9.6.2</t>
  </si>
  <si>
    <t>9.6.3</t>
  </si>
  <si>
    <t>10.1.7</t>
  </si>
  <si>
    <t>10.1.8</t>
  </si>
  <si>
    <t>10.2.7</t>
  </si>
  <si>
    <t>10.2.8</t>
  </si>
  <si>
    <t>10.2.9</t>
  </si>
  <si>
    <t>10.2.10</t>
  </si>
  <si>
    <t>10.3.1</t>
  </si>
  <si>
    <t>10.3.5</t>
  </si>
  <si>
    <t>10.3.6</t>
  </si>
  <si>
    <t>10.3.7</t>
  </si>
  <si>
    <t>10.3.8</t>
  </si>
  <si>
    <t>11.1.3</t>
  </si>
  <si>
    <t>11.1.4</t>
  </si>
  <si>
    <t>11.1.6</t>
  </si>
  <si>
    <t>11.1.9</t>
  </si>
  <si>
    <t>11.2.2</t>
  </si>
  <si>
    <t>12.0.4</t>
  </si>
  <si>
    <t>12.4.1</t>
  </si>
  <si>
    <t>12.4.2</t>
  </si>
  <si>
    <t>12.4.3</t>
  </si>
  <si>
    <t>14.0.4</t>
  </si>
  <si>
    <t>14.2.4</t>
  </si>
  <si>
    <t>14.3</t>
  </si>
  <si>
    <t>14.3.1</t>
  </si>
  <si>
    <t>14.3.3</t>
  </si>
  <si>
    <t>14.4</t>
  </si>
  <si>
    <t>14.4.1</t>
  </si>
  <si>
    <t>14.4.2</t>
  </si>
  <si>
    <t>14.4.3</t>
  </si>
  <si>
    <t>14.4.4</t>
  </si>
  <si>
    <t>15.0.5</t>
  </si>
  <si>
    <t>15.0.6</t>
  </si>
  <si>
    <t>15.0.7</t>
  </si>
  <si>
    <t>15.0.8</t>
  </si>
  <si>
    <t>15.0.10</t>
  </si>
  <si>
    <t>15.1.6</t>
  </si>
  <si>
    <t>15.1.7</t>
  </si>
  <si>
    <t>15.1.8</t>
  </si>
  <si>
    <t>15.1.9</t>
  </si>
  <si>
    <t>15.1.10</t>
  </si>
  <si>
    <t>15.2.5</t>
  </si>
  <si>
    <t>15.2.6</t>
  </si>
  <si>
    <t>15.2.7</t>
  </si>
  <si>
    <t>15.3.2</t>
  </si>
  <si>
    <t>15.3.4</t>
  </si>
  <si>
    <t>15.3.5</t>
  </si>
  <si>
    <t>15.3.6</t>
  </si>
  <si>
    <t>15.3.7</t>
  </si>
  <si>
    <t>15.3.8</t>
  </si>
  <si>
    <t>15.3.9</t>
  </si>
  <si>
    <t>15.3.10</t>
  </si>
  <si>
    <t>15.4.4</t>
  </si>
  <si>
    <t>15.5</t>
  </si>
  <si>
    <t>15.5.1</t>
  </si>
  <si>
    <t>15.5.2</t>
  </si>
  <si>
    <t>Сложилась экономия в результате проведения закупочных процедур. Также низкая степень освоения средств и частичное выполнение мероприятий обусловлено нарушением условий контракта в части сроков выполнения работ (несвоевременное предоставление отчетной документации, необходимость корректировки проектной документации в связи с вновь установленными условиями и т.д.)</t>
  </si>
  <si>
    <t>Сложилась экономия в результате проведения закупочных процедур. Низкая степень освоения средств связана с нарушением сроков выполнения работ подрядными организациями, а также расторжением контрактов</t>
  </si>
  <si>
    <t>Низкая степень освоения денежных средств связана с этапностью выполнения мероприятий региональной адресной программы по переселению (продлится до 31.12.2024). Частичное выполнение мероприятий обусловлено нарушением подрядчиками условий контрактов в части сроков выполнения работ, внесением изменений в проектно-сметную документацию в связи с выявлением дополнительных строительно-монтажных работ и прохождением инженерных изысканий</t>
  </si>
  <si>
    <t>Подпрограмма 4. Обеспечение устойчивой деятельности топливно-энергетического комплекса и функционирования коммунальной инфраструктуры Мурманской области и повышения энергетической эффективности</t>
  </si>
  <si>
    <t>Подпрограмма 4 «Обеспечение устойчивой деятельности топливно-энергетического комплекса и функционирования коммунальной инфраструктуры Мурманской области и повышения энергетической эффективности»</t>
  </si>
  <si>
    <t>8.4</t>
  </si>
  <si>
    <t>12.5</t>
  </si>
  <si>
    <t>8.2.</t>
  </si>
  <si>
    <t>8.3.</t>
  </si>
  <si>
    <t>8.4.</t>
  </si>
  <si>
    <t>9.5.</t>
  </si>
  <si>
    <t>9.6.</t>
  </si>
  <si>
    <t xml:space="preserve">10. </t>
  </si>
  <si>
    <t>11.</t>
  </si>
  <si>
    <t>12.5.</t>
  </si>
  <si>
    <t>14.3.</t>
  </si>
  <si>
    <t>14.4.</t>
  </si>
  <si>
    <t>15.5.</t>
  </si>
  <si>
    <t>Сведения о ходе реализации мероприятий государственных программ Мурманской области за 2023 год</t>
  </si>
  <si>
    <t>Оценка эффективности реализации государственных программ Мурманской области в 2023 году</t>
  </si>
  <si>
    <t>Реконструкция комплекса зданий ГОБУЗ «Мурманский областной онкологический диспансер» по адресу: г. Мурманск, ул. Академика Павлова, д.6, корп. 2.1 этап. Хирургический корпус</t>
  </si>
  <si>
    <t>Строительная готовность - 15%. Выполнены работы по устройству основания из плит для буровой,устройству свайного поля (100%) из БНС, устройству стен (100% подвальная часть)</t>
  </si>
  <si>
    <t xml:space="preserve">2021-2023- разработка ПСД      </t>
  </si>
  <si>
    <t xml:space="preserve">465 789,9
(предполагаемая (предельная) стоимость объекта, определенная с применением укрупненного норматива цены  строительства)
</t>
  </si>
  <si>
    <t>Проектная документация разработана. Подрядной организацией устранялись замечания, выданные государственной экспертизой Мурманской области. Причины: отсутствие положительного заключения государственной экспертиы МО.</t>
  </si>
  <si>
    <t xml:space="preserve">Амбулатория с подстанцией скорой помощи и дневным стационаром в пгт. Зеленоборский
</t>
  </si>
  <si>
    <t xml:space="preserve">Министерство строительства Мурманской области, ГОКУ «УКС МО»
</t>
  </si>
  <si>
    <t xml:space="preserve">2021 - 2022 - разработка ПСД,
2022 - 2024 - строительство
</t>
  </si>
  <si>
    <t xml:space="preserve">536 173,5 (предполагаемая (предельная) стоимость объекта, определенная с применением укрупненного норматива цены строительства)
</t>
  </si>
  <si>
    <t>Строительная готовность - 57%. На объекте выполнено: каркас здания  - 100%, крыльца  - 90%, кладка наружных стен основного здания - 95%, кладка перегородок - 70%, кладка перегородок подвала - 100%, установка окон - 40%, устройство кровли основного здания - 40%, устройство кровли гаража - 30%, прокладка наружной напорной ливневой канализации - 20%, устройство фасада основного здания -3%, прокладка слаботочных систем и сетей электроснабжения - 2%,  вентиляции - 7%., каркас гаража - 98%.</t>
  </si>
  <si>
    <t xml:space="preserve">2021 - 2023 - разработка ПСД, реконструкция
</t>
  </si>
  <si>
    <t>Строительная готовность - 6%. Заключен ГК от 11.12.2023 № 97-2023. Выполнены демонтажные работы, устройствуо фундамента под пристройку, возведение стен пристройки входной группы (40%).  Выполнены отделочные работы по основному зданию (1 и 2 этаж, 17%). Частично выполнена теплоизоляция стен по фасаду. Причины: позднее заключение контракта на строительно-монтажные работы, обусловленное поздним получением заключения ГЭ на проектную документацию в связи  с расторжением  ранее заключенного контракта на проетирование (неисполнение подрядчиком своих обязательств) и заключением нового контракта.</t>
  </si>
  <si>
    <t xml:space="preserve">Строительство объекта «Инфекционный корпус на территории ГОАУЗ МЦРБ по адресу: г. Мончегорск, пр. Кирова, д. 6»
</t>
  </si>
  <si>
    <t xml:space="preserve">Министерство здравоохранения Мурманской области, ГОАУЗ «МЦРБ», Министерство строительства Мурманской области, ГОКУ «УКС МО»
</t>
  </si>
  <si>
    <t xml:space="preserve">2022 - 2023 разработка ПСД, прохождение госэкспертизы, 2024 - 2025 строительство
</t>
  </si>
  <si>
    <t xml:space="preserve">459 997,8           (предполагаемая (предельная) стоимость объекта, определенная с применением укрупненного норматива цены строительства)
</t>
  </si>
  <si>
    <t>Проектная документация разработана, направлена на проверку государственной экспертизы Мурманской области</t>
  </si>
  <si>
    <t xml:space="preserve">Строительство объекта "Инфекционное отделение в филиале ГОАУЗ МЦРБ - Ковдорская больница в г. Ковдоре Мурманской области"
</t>
  </si>
  <si>
    <t xml:space="preserve">2022 - 2023 разработка ПСД,
прохождение госэкспертизы, 2024 строительство
</t>
  </si>
  <si>
    <t xml:space="preserve">287 997,37 (предполагаемая (предельная) стоимость объекта, определенная с применением укрупненного норматива цены строительства)
</t>
  </si>
  <si>
    <t xml:space="preserve">Реконструкция комплекса зданий ГОБУЗ "Мурманский областной онкологический диспансер" по адресу: г. Мурманск, ул. Академика Павлова, д. 6, корп. 2. 2 этап. Лечебно-диагностический корпус и радиологический корпус
</t>
  </si>
  <si>
    <t xml:space="preserve">2023 разработка проектной документации, прохождение госэкспертизы, 2024 - 2025 реконструкция
</t>
  </si>
  <si>
    <t xml:space="preserve">1 473 194,3 (предполагаемая (предельная) стоимость объекта, определенная с применением укрупненного норматива цены строительства)
</t>
  </si>
  <si>
    <t>Проектная документация разработана, получено заключение  государственной экспертизы МО.</t>
  </si>
  <si>
    <t xml:space="preserve">Реестровый номер контракта в ЕИС - 3519093571420000182 (03.12.2020. Заказчик - Администрация г. Мурманска. Подрядчик -  ООО "Термоизолстрой".  
В 2023 году были выполнены работы по расселению и сносу МКД попадающих в пятно застройки. Были выполнены работы по освобождению строительной площадки от зеленных насаждений, выполнялись работы по дроблению скального грунта под блоки А и Б, а также под инженерные сети (внутриплощадочные). Выполнялись работы по устройству оснований и фундаментов зданий, а также по возведению зданий.   
На блоке "А": работы по кладке кирпичных стен и перегородок, монтажу плит перекрытий и монолитных участков, систем вентиляции, теплоснабжения, электроснабжения. На блоке "Б":  работы по монтажу стен из блоков ФБС с гидроизоляцией, теплоизоляцией и обратной засыпкой фундаментов; работы по монтажу плит перекрытия технического этажа. На блоке "В": монтаж каркаса и опалубки для устройства фундаментных балок, устройство каркаса здания из металлоконструкций, подготовительные работы для устройства монолитного перекрытия этажей, монтаж оборудования теплового узла. Гидроизоляция, утепление возведенных поверхностей, обратная засыпка пазух фундаментов. Завозился материал для монтажа кровли, частично завезено вентиляционное оборудование. На участке под размещение стадиона  - работы по рыхлению и экскавации скального грунта                                                                                                                                                                                                                                                                               </t>
  </si>
  <si>
    <t>2021 - 2024 разработка ПСД,  экспертиза, СМР</t>
  </si>
  <si>
    <t>В декабре 2023 Заключен контракт с новым подрядчиком (ООО Торион) . Заказчик - ГОКУ УКС.. В 2023году было выполнено создание бытового городка. Снос зеленых насаждений выполнение БВР под устройство спортивного ядра (стадион). Приступили к устройству подпорный стен.Осуществлялись буровзрывные работы под устройство котлована основного здания школы, работы по вывозу с территории строительной площадки скального грунта.</t>
  </si>
  <si>
    <t>Строительство здания начальной школы (пристройки) на 250 мест в поселке Печенга</t>
  </si>
  <si>
    <t xml:space="preserve">Министерство строительства Мурманской области, АМО Печенгского района, ГОКУ УКС
</t>
  </si>
  <si>
    <t>2020-ПСД, 2023-2024 - СМР</t>
  </si>
  <si>
    <t>Завершены работы по устройству монолитного пояса, фундаментной плиты под резервуар. Выполнялосьсь: устройство плит перекрытия 1 этажа, возведение несущих стен 2 этажа из кирпича полнотелого, прокладка наружных сетей. По переходу завершены работы по устройству ростверка. Началась укладка блоков ФБС</t>
  </si>
  <si>
    <t>2019 - 2020 - разработка ПСД, проведение государственной экспертизы, 2020 - 2023 - строительство</t>
  </si>
  <si>
    <t xml:space="preserve">Реестровый номер контракта в ЕИС - 0149200002320005035 (от 24.08.2020). Заказчик - Комитет имущественных отношений и территориального планирования администрации муниципального образования Кандалакшский район , подрядчик - ООО "МСК"
Работы завершены. Объект введен в эксплуатацию. 40535,5 - подтвержденный переходящий остаток прошлых лет. В отчетном периоде были проведены следующие работы: 
1. Наружная отделка (фасад, козырьки, двери, окна), остатки кровли, внутренние сети (вентиляция, водоснабжение, канализация, электрика, сети связи, пожарная и охранная сигнализация, видеонаблюдение). 
2. Наружные сети (сети связи, водоснабжение и водоотведение.)                                        
3. Пусконаладочные работы и благоустройство.                                   
4. Ввод объекта в эксплуатацию - апрель 2023. </t>
  </si>
  <si>
    <t>Строительство объекта "ПСД на ФОК закрытого типа в районе дома 13 по ул. Старостина" (в рамках концессионного соглашения по строительству и эксплуатации объекта соглашения в соответствии с Федеральным законом от 21.07.2005 N 115-ФЗ "О концессионных соглашениях")</t>
  </si>
  <si>
    <t>2023 - 2032 строительство и эксплуатация</t>
  </si>
  <si>
    <t xml:space="preserve">Получено разрешение на строительство. Подрядная организация планирует приступить к работам с 01.04.2024.
</t>
  </si>
  <si>
    <t xml:space="preserve">Минстрой МО, АО Корпорация развития МО
</t>
  </si>
  <si>
    <t xml:space="preserve">Техническая готовность объекта - 100%. Неосвоение средств в полном объеме связано  невозможностью окончательной приемки и оплаты выполненных работ по причине того, что сметная документация  проходит проверку достоверности сметной стоимости.
</t>
  </si>
  <si>
    <t>Строительство крытого бассейна в ЗАТО г. Североморск</t>
  </si>
  <si>
    <t>Минстрой МО, ГОКУ УКС</t>
  </si>
  <si>
    <t>2023 - 2024 строительство</t>
  </si>
  <si>
    <t xml:space="preserve">,
816172,2
</t>
  </si>
  <si>
    <t xml:space="preserve">Техническая готовность - 2%. Завершены работы по испытанию свай. Продолжаются работы по забивке свай. (выполнено 70%, всего свай 1025шт. С 15.03.2024  начаты работы по устройству подбетонки под ростверки. С 18.03.2024 начаты работы по устройству каркаса здания. </t>
  </si>
  <si>
    <t xml:space="preserve">2021 - строительство,
2023 - ввод объекта в эксплуатацию
</t>
  </si>
  <si>
    <t>Работы завершены в полном объеме</t>
  </si>
  <si>
    <t>Строительство объекта "Быстровозводимый спортивно-оздоровительный комплекс с плавательным бассейном и тренажерным залом" на Кольском проспекте в г. Мурманске" (в рамках концессионного соглашения по строительству и эксплуатации объекта соглашения в соответствии с Федеральным законом от 21.07.2005 N 115-ФЗ "О концессионных соглашениях")</t>
  </si>
  <si>
    <t xml:space="preserve">Минспорт МО, АО Корпорация развития МО
</t>
  </si>
  <si>
    <t xml:space="preserve">2023 - 2033 строительство и эксплуатация
</t>
  </si>
  <si>
    <t>Заключено концессионное соглашение. Проектная документация  передана концессионеру.Подготовка документов на конкурс.</t>
  </si>
  <si>
    <t>Реконструкция Ледового дворца, расположенного по адресу: Мурманская обл., г. Оленегорск, ул. Строительная, д. 40</t>
  </si>
  <si>
    <t xml:space="preserve">Минстрой МО, администрация муниципального образования г. Оленегорск МО
</t>
  </si>
  <si>
    <t xml:space="preserve">2023 - 2024 разработка ПСД,СМР
</t>
  </si>
  <si>
    <t>Техническая готовность - 38%. Выполнялись демонтажные работы АР, КР, инженерные сети ЭО, ВиК, ГВС, ХВС, ВРУ, устройство узлов учета ХВС и ГВС, системы воздуховодов, монтаж внутренних перегородок, штукатурка вновь возводимых перегородок, расчистка металлоконструкций (фермы, балки перекрытия), подготовка к нанесению огнезащитного материала  металлоконструкций, нанесение огнезащитного материала  на металлические конструкций, монтаж закладных деталей системы ЭОМ; ГВС и ХВС, монтаж металлического каркаса системы Knauf обшивки стен Ледовой арены. Закуплены строительные и отделочные материалы, сыпучих смесей,  лакокрасочных, металлопроката и металлоконструкций.</t>
  </si>
  <si>
    <t xml:space="preserve"> 2023 разработка ПСД
</t>
  </si>
  <si>
    <t>ПСД разработана</t>
  </si>
  <si>
    <t xml:space="preserve">2022 - 2023 разработка ПСД
</t>
  </si>
  <si>
    <t>Спортивный комплекс с плавательным бассейном «Энергетик», расположенный по адресу: Мурманская область, Кольский район, пгт. Мурмаши, ул. Мисякова, д.6</t>
  </si>
  <si>
    <t xml:space="preserve">Минстрой МО, администрация муниципального образования Кольский муниципальный район МО 
</t>
  </si>
  <si>
    <t>2023-2025 приобретение</t>
  </si>
  <si>
    <t>Контракт на приобретение в муниципальную собственность недвижимого имущества № 1/10-2023 от 18.10.2023 с ООО "Наяда" заключен (оплата за 2023г -в полном объеме)</t>
  </si>
  <si>
    <t>Фитнес-центр «Престиж», расположенный в зданиях по адресам : Мурманская область, Кольский район, п.г.т. Мурмаши, ул. Мира, д.14, ул. Мира, д. 13</t>
  </si>
  <si>
    <t xml:space="preserve">Минстрой МО, администрация муниципального образования Кольский муниципальный район МО </t>
  </si>
  <si>
    <t xml:space="preserve">Контракты на приобретение в муниципальную собственность недвижимого имущества № 2/10-2023 и № 3/10-2023 от 27.10.2023 с ИП Блинский В.Г. заключены (оплата  за 2023 г - в полном объеме) </t>
  </si>
  <si>
    <t xml:space="preserve">2022-2023 - разработка ПСД
</t>
  </si>
  <si>
    <t>Не получено положительное заключение государственной экспертизы. Длительность разработки проектной документации обусловлена непредоставлением исходных данных для проектирования, а именно  геологических извысканий.</t>
  </si>
  <si>
    <t>Государственный контракт заключен № 64-2022 от 15.06.2022г
Генподрядная организация: Акционерное общество «Группа компаний «ЕКС»
Цена Контракта: 191 599 750 руб. 61 коп.
Начало работ – 15.06.2022.
Окончание работ – 06.06.2023 (д/с № 5 от 20.12.2022). 
Техническая готовность объекта - 99%. Выполнено: устройство отмостки; устройство шахты лифта и лифтового холла (бетонирование шахты лифта, устройство монолитных перекрытий лифтового холла по несъемной опалубке, устройство ограждающих конструкций из г/б блоков, утепление, оштукатуривание и окраска наружных стен); ремонт кирпичной кладки фасада пристройки и устройство кладки парапета из кирпича; облицовка гранитной плитой крыльца главного входа; отделочные работы помещений; устройство водосточной системы (согласно ПД из нержавейки- по факту из стали с полимерным покрытием), прокладка силовой и слаботочной кабельной продукции (выполнено в предыдущем контракте), устройство ограждений внутренней лестницы из нержавеющей стали; монтаж лифтов, монтаж вентиляционной системы, устройство кровли лифтовой шахты и пристройки, подано отопление во все помещения музея.
Выполняется:  завершение отделочных работ (затирка швов, окраска некоторых помещений), ведутся пусконаладочные работы (слаботочные системы), вывоз мусора. В связи с незавершением строительно-монтажных работ по объекту, 22.05.2023 г. заключено дополнительное соглашение. Общий срок исполнения обязательств продлен до 01.09.2024 г. и срок действия договора до 20.09.2024 г.</t>
  </si>
  <si>
    <t>Министерство строительства МО; администрация муниципального образования Печенгский муниципальный округ Мурманской области</t>
  </si>
  <si>
    <t>2022 - реконструкция,
2023 - 2024 - реконструкция, ввод в эксплуатацию</t>
  </si>
  <si>
    <t>В настоящее время Подрядчик (ООО «Энергофонд») выполнил по I этапу демонтажные работы - 98%, усиление колон в объеме 95%, усиление обоймы здания 68 %, перемещение грунтов в подвале  (планировка)  93%, подготовка  замены  кровли  12%, подготовка основание пола (керамзит) 13%,усиление и обработка ферм здания (крыша) 78%, пробивка проемов в стенах 87%. Общий объем выполненных работ – 15,8 %. 
В 2022 году  ГОКУ  «УКС», выполняющее функции технического заказчика по объекту, совместно с Администрацией Печенгского района в целях минимизации затрат путем замены строительных материалов,  конструкций  и  решений проведена  работа  по  подготовке технического  задания  на  корректировку  проектной  документации  стадии «Проект» (П) и стадии «Рабочая документация» (РД) на выполнение комплекса работ  по  Объекту.  
ООО «Вектра» в соответствии с договором от 27.06.2022 № 25/0622 выполнены работы по корректировке проектной и рабочей документации.
Проектная документация проходит экспертизу. Выполняется: работы по усилению колонн и ферм здания, обоймы здания, производится выборка грунта, пробивка технологических проёмов.                                                                                                                                                                                                                                                                       Зафиксировано движение установленных маячков (динамика) по зданию.                                                                                                            
После получения положительного заключения будет приниматься решение по возможности выполнения работ с данным подрядчиком, либо о необходимости смены подрядчика.</t>
  </si>
  <si>
    <t>Техническая готовность объекта - 53%. Выполнено: подготовительные, демонтажные работы, наружные отделочные работы, возведение колонн кинозала.  Выполняется: земляные, фундаментные работы, внутренние отделочные работы,  устройство внутренних кирпичных перегородок (подвал, 1 этаж), устройство внутренних газобетонных перегородок (1 этаж), устройство ж/б плит фундамента и перекрытий, монтаж вентиляционной системы.</t>
  </si>
  <si>
    <t>Реконструкция с элементами реставрации в целях приспособления к современному использованию здания ГОАУК «Мурманский областной Дворец культуры и народного творчества им. С.М. Кирова»</t>
  </si>
  <si>
    <t>2022-2024 -разработка ПД, 2024-2026 - реконструкция</t>
  </si>
  <si>
    <t>Заключен гос. контракт на выполнение работ по разработке проектной документации, срок исполнения - декабрь 2024.
ПД проходит экспертизу. 4 раздела проектной документации находятся у проектировщика на доработке, 2 раздела будет загружено в экспертизу  после получения всех необходимых согласований (повторная отправка на согласование в МОЭСК 04.10.23(план). 4 раздела находятся на рассмотрении в экспертизе.</t>
  </si>
  <si>
    <t>Министерство строительства  Мурманской области,  администрация муниципального образования городской округ город-герой Мурманска</t>
  </si>
  <si>
    <t>2023 - строительство объекта, 2024 - завершение строительства, ввод в эксплуатацию</t>
  </si>
  <si>
    <t xml:space="preserve">31.03.2023 заключен муниципальный контракт между ММКУ "УКС" и ООО "ТРИТОН". Согласно условиям контракта оплачен аванс в размере 30% от стоимости контракта. Контрактом предусмотрено выполнение всех строительных работ в 1 этапе. По объекту получено разрешение на строительство. В настоящее время ведутся работы. Техническая готовность объекта- 2%.                                                                                                                                        Выполняются: подготовительные работы, работы по разработке котлована.  </t>
  </si>
  <si>
    <t>Министерство строительства  Мурманской области, ГОКУ «Управление капитального строительства Мурманской области»</t>
  </si>
  <si>
    <t>2022- разработка ПД
2023 - строительство объекта, 2024 - завершение строительства, ввод в эксплуатацию</t>
  </si>
  <si>
    <t>Получено разрешение на строительство.                                                                                                                                                                                                На объекте выполняются работы по устройству котлована, завоз строительных материалов (щебень), подготовка основания котлована. Для выноса тепловой сети материалы закуплены. Техническая готовность объекта - 2%. Имеется отставание от графика ведения работ на 2 месяца.</t>
  </si>
  <si>
    <t>Произведено армирование плиты перекрытия 4 этажа и заливка ½ части бетоном. Армирование ½ части плиты 4 этажа.  Производится кладка перегородок и стен из газобетона на 1,2, 3 этажах, армирование парапетов, монтируются подсистемы вентфасадов.
Ввиду необходимости завершения работ по благоустройству территории, на совещании по строительству под председательством Губернатора МО согласован срок завершения работ до 31.07.2024</t>
  </si>
  <si>
    <t>Произведено бетонирование перекрытия между 6 и 7 этажами. Производят кладку наружных стен и внутренних перегородок с 2 по 5 этажи. Производиться монтаж системы отопления(стояков). 
Причины отставания - нарушением подрядчиком обязательств по контракту в части сроков выполнения работ
Ввиду необходимости завершения работ по благоустройству территории, на совещании по строительству под председательством Губернатора МО согласован срок завершения работ до 31.07.2024</t>
  </si>
  <si>
    <t>Жилой дом (4) в г. Мурманске по ул. Кирпичной 2 этап</t>
  </si>
  <si>
    <t>Разработка ПСД в 2023 году, строительство в 2023 - 2024 годах</t>
  </si>
  <si>
    <t>Подрядчик выполнил установку ограждения строительной площадки, снос зеленых насаждений, устройство временного электроснабжения. Подрядчик производит разработку котлована. Обнаружена скала в основании котлована. Проводится анализ изысканий. На основании выводов из анализа будет определено каким видом работ производить выемку скалы с письменным уведомлением в адрес Торион. Прогноз: значительная  вероятность выемку скалы проводить с применением БВР</t>
  </si>
  <si>
    <t xml:space="preserve">Реконструкция водопроводной насосной станции с установкой комплекса оборудования очистки воды на объекте: "Станция водоподготовки на ВНС-1 озеро Большое Грязненское"
</t>
  </si>
  <si>
    <t xml:space="preserve">Минстрой МО, МО ЗАТО г.Североморск </t>
  </si>
  <si>
    <t>выполнение работ 2023 - 2024 годах . Ввод в эксплуатацию в 2024 году.</t>
  </si>
  <si>
    <t xml:space="preserve">
Подрядная организация приступила к выполнению работ основного периода (разработка котлована под здание)
Выполняется корректировка ПД</t>
  </si>
  <si>
    <t>445 965,4 с учетом затрат на разработку ПСД 1818,18 т.р.</t>
  </si>
  <si>
    <t>Работы по асфальтированию завершены в рамках контракта. Работы приостановлены до наступления благоприятных погодных условий (май 2024).</t>
  </si>
  <si>
    <t xml:space="preserve">2016 - 2030 гг. - строительство:
2019 - 2020 - 1 этап,
2021 - 2023 - 2 этап,
2024 - 2026 - 3 этап,
2027 - 2029 - 4 этап,
2030 - 5 этап.
Ввод объекта в эксплуатацию в 2030 году
</t>
  </si>
  <si>
    <t>341187,2  в том числе 2 361,4 т.р. разработка ПСД за счет МО</t>
  </si>
  <si>
    <t>Контракт расторгнут с подрядчиком с всязи с недобросоветсным исполнением своих обязательств.</t>
  </si>
  <si>
    <t xml:space="preserve">2012 - 2013 - разработка ПСД, 2019 - 2024 - строительство
</t>
  </si>
  <si>
    <t xml:space="preserve">Выполнена вертикальная планировка секторов захоронения, водоотводные каналы, дорожная сеть, электроснабжение, завезены МАФы.         </t>
  </si>
  <si>
    <t xml:space="preserve">2015 - 2016 разработка ПСД,
2019 - 2028 - строительство:
2019 - 2022 - 1 этап,
2023 - 2025 - 2 этап,
2026 - 2028 - 3 этап.
Ввод объекта в эксплуатацию в 2028 году
</t>
  </si>
  <si>
    <t xml:space="preserve">406828,2 с учетом затрат на разработку ПСД 1464,1 за счет МБ
</t>
  </si>
  <si>
    <t>1 этап -100%. 2 и 3 этап - пройдена экспертиза. Реализация - 2025 год</t>
  </si>
  <si>
    <t xml:space="preserve">2020 - 40 %,
2022 - 60 % - ПСД,
строительство - 2022 - 2024 годы, в т.ч.:
строительство 1 этапа: 2022 год;
строительство 3 этапа: 2022 год;
строительство 4 этапа:
2022 - 2023 годы;
строительство 5 этапа:
2023 - 2024 годы
</t>
  </si>
  <si>
    <t>Продолжаются работы по строительству 4 этапа (планировка, устройство площадок)</t>
  </si>
  <si>
    <t>Подрядчиком ведутся работы по обустройству кровли и фасада здания, производиться разводка внутренних электрических сетей, отделочные работы внутри здания.
Ввиду необходимости завершения работ по благоустройству территории, на совещании по строительству под председательством Губернатора МО согласован срок завершения работ до 31.07.2024</t>
  </si>
  <si>
    <t>Произведено бетонирование перекрытия между 6 и 7 этажами. Производят кладку наружных стен и внутренних перегородок с 2 по 5 этажи. Производиться монтаж системы отопления (стояков). 
Причины отставания - нарушением подрядчиком обязательств по контракту в части сроков выполнения работ
Ввиду необходимости завершения работ по благоустройству территории, на совещании по строительству под председательством Губернатора МО согласован срок завершения работ до 31.07.2024</t>
  </si>
  <si>
    <t xml:space="preserve">В связи с выявленной в процессе строительства деформацией фундамента (плита) подрядчик произвел демонтаж плиты, производиться вывоз боя бетона на полигон. Изыскатели ООО "СевИнжГео" произвели бурение скважин, готов отчет по геологическим изысканиям, подготавливается отчет по геодезическим изысканиям.
В настоящее время ведется реализация плана мероприятий по изменению проектных решений в части проработки нового конструктива здания из металлоконструкций. ООО "Белый дом" </t>
  </si>
  <si>
    <t>Разработка ПСД В 2022 году, строительство в 2022 - 2024году</t>
  </si>
  <si>
    <t>Подрядчик производит армирование плиты основания фундамента. Произведена заливка бетоном 11 пилонов техподполья. Производят выставку опалубки стен техподполья</t>
  </si>
  <si>
    <t>Жилой дом в г. Мурманске по ул. Кирпичной 1 этап</t>
  </si>
  <si>
    <t>Ввод нового жилья для переселения граждан из аварийного жилищного фонда общей площадью 4638,0 кв.м</t>
  </si>
  <si>
    <t>строительство в 2022 - 2023 годах</t>
  </si>
  <si>
    <t>22.08.2023 заключен единый контракт на выполнение работ по разработке проектной документации и выполнение СМР. Срок завершения строительства до 30.12.2024. В рамках действующего законодательства подрядчик приступил к организации строительной площадки.
В настоящее время разработанные разделы проектной документации направлены на экспертную оценку (субподрядчик ООО "ПМ "ВЕГА")</t>
  </si>
  <si>
    <t>Жилой дом в г.п. Молочный
Кольского района Мурманской области</t>
  </si>
  <si>
    <t>Разработка ПСД в 2021 году</t>
  </si>
  <si>
    <t>не предусмотрено программой на год</t>
  </si>
  <si>
    <t>Разработка ПД 2021 год
Строительство 2022-2024 годы</t>
  </si>
  <si>
    <t xml:space="preserve">Выполняется завоз материалов на объект. </t>
  </si>
  <si>
    <t>Работы завершены</t>
  </si>
  <si>
    <t>50</t>
  </si>
  <si>
    <t xml:space="preserve">Подключение системы канализации н.п. Шонгуй к системе водоотведения п.г.т. Кильдинстрой с дальнейшим подключением к ОСК п.г.т. Молочный (строительство)
</t>
  </si>
  <si>
    <t>Минэнерго и ЖКХ МО, ГОУП "Мурманскводоканал"</t>
  </si>
  <si>
    <t xml:space="preserve">2023 - разработка ПСД, строительство 2024 </t>
  </si>
  <si>
    <t xml:space="preserve">Разработана ПСД, заключен контракт с подрядчиком, закуплены материалы </t>
  </si>
  <si>
    <t>51</t>
  </si>
  <si>
    <t xml:space="preserve">Минэнерго и ЖКХ МО,АО "МЭС"
</t>
  </si>
  <si>
    <t>Реализация мероприяти в соответствии с графиком</t>
  </si>
  <si>
    <t>52</t>
  </si>
  <si>
    <t>Строительство системы водоотведения к общеобразовательной школе на 800 мест по пер.Казарменному*</t>
  </si>
  <si>
    <t>Минстрой МО, муниципальное образование город Мурманск</t>
  </si>
  <si>
    <t>Строительство 2023-2024</t>
  </si>
  <si>
    <t>Работы не выполнены.
Позднее заключение связано с необходимостью уточнения и изменения видов и объемов работ, проведения дополнительных обследований совместно со специалистами ГОУП "Мурманскводоканал", определения оптимальной точки присоединения к существующим сетям ливневой канализации, а также необходиомстью изменения расчета Н(М)ЦК в связи с уточнением объемов и видов работ</t>
  </si>
  <si>
    <t>53</t>
  </si>
  <si>
    <t>Строительство системы водоотведения по объекту "Жилой дом в г.Мурманске по ул. Полярные Зори"</t>
  </si>
  <si>
    <t>Работы не выполнены.
Позднее заключение связано с необходимостью уточнения объемов и видов  работ, проведения дополнительных обследований совместно со специалистами ГОУП "Мурманскводоканал", определеения оптимальной точки присоедениения к существующим сетям ливневой канализации, а также необходиомстью  изменения расчета Н(М)ЦК в связи с уточнением объемов и видов работ</t>
  </si>
  <si>
    <t>54</t>
  </si>
  <si>
    <t>Строительство системы водоотведения к объекту "Жилой дом по ул.Бондарная"</t>
  </si>
  <si>
    <t>Строительство</t>
  </si>
  <si>
    <t>Работы не выполнены.
Позднее заключение связано с необходимостью проведения дополнительного обследования и изменению видов работ в связи с принятием решения о подключении к существующей бытовой канализации 
ГОУП "Мурманскводоканал".</t>
  </si>
  <si>
    <t>Выполнен ремонт :  экраны- 25%  конвективная часть - 30%</t>
  </si>
  <si>
    <t>Подпрограмма "Обеспечение реализации государственной программы"</t>
  </si>
  <si>
    <t>Наружные сети централизованного водоснабжения объекта ГОКУ МО "Региональный центр лесного и экологического контроля" по адресу: г. Мурманск, Верхне-Ростинское шоссе, д. 53</t>
  </si>
  <si>
    <t>Министерство природных ресурсов, экологии и рыбного хозяйства Мурманской области, ГОКУ МО "Региональный центр лесного и экологического контроля"</t>
  </si>
  <si>
    <t>2023 год - строительство, подключение к инженерным сетям и ввод в эксплуатацию</t>
  </si>
  <si>
    <t xml:space="preserve">1351,96
</t>
  </si>
  <si>
    <t>Заключен государственный контракт от 10.07.2023 с ООО «Техдом». Приемка осуществлена  в 3 квартале 2023. Экономия произошла по проведению конкурсных процедур и возвращена в бюджет.</t>
  </si>
  <si>
    <t>2023-2025 - разработка ПСД</t>
  </si>
  <si>
    <t>В связи с отсутствием положительного заключения экспертизы проектной документации исполнение по трем неисполненным контрактам планируется в 2024 году</t>
  </si>
  <si>
    <t xml:space="preserve">Подготовка территории строительства – 100%;
Подготовительные работы 
Организация дорожного движения на период производства работ – 100%;
Разборка  существующих сооружений – 100%  ;                                            
Земляные работы -  43%                                         
Буровзрывные работы - 54%      
Выемка (рыхление грунтов) - 88%                       
Кюветы-20%                                                              
Нарезка уступов  и устройство борозд в местах уширения -   30%                           
Насыпь - 20%  
Из выемки с транспортировкой в насыпь - 24%  
Искусственные сооружения. Трубы - 35%                                           Строительство труб Д-1.5 м -91%   
Строительство спиральновитых гофрированных труб 2хД-1.8 м - 50%                                                                                                                                 
Технологический перерыв до 31.03.2024.           
Общее выполнение – 45% по выполненным физическим работам </t>
  </si>
  <si>
    <t>Работы выполнены.</t>
  </si>
  <si>
    <t xml:space="preserve">Реконструкция мостового перехода через р. Канентъявр на км 49+100 автомобильной дороги Кола - Серебрянские ГЭС с подъездами
</t>
  </si>
  <si>
    <t>2023-2024</t>
  </si>
  <si>
    <t xml:space="preserve">Подготовительные работы - 100%      
Организация дорожного движения на период производства работ (работы, выполняемые на одной половине проезжей части дороги) - 100%                                                                              
Разборка существующего обустройства (работы, выполняемые на одной половине проезжей части дороги) - 100%                 
Фрезеровка существующего асфальтобетонного покрытия - 100%
Рубка леса - 100 %                                                   
Срезка растительного слоя - 100%                                                
Демонтаж конструкций существующего моста - 100 %       
Земляные работы - 90%                                                      
Выемка - 100%            Кюветы - 100%                                                Устройсто уступов по откосам насыпей (в местах уширения земляного полотна) - 100%                                                                          Рыхление существующего откоса (в местах уширения земляного полотна) - 100%                                                                                             Насыпь - 100%                                                                    Укрепительные работы - 42%                                           
Укрепление откосов - 100%          
Укрепление кюветов - 25% 
Дорожная одежда - 2%                
Отвод воды - 3%               
Устройство ЛОС - 10%
Сооружение опоры № 1 - 100%                                 
Сооружение опоры № 2 - 100%  
Пролетное строение - 61%
Устройство сопряжения - 33%
Разборка временных конструкций моста - 0 %                                           Разборка подходов к временному мосту - 0 %                                           Демонтаж пролетного строения - 0 %                                                        Закрыт 2-й этап.                                                                                  Технологический перерыв до 31.03.2024.                                                                                                                                                    Общее выполнение – 40%     </t>
  </si>
  <si>
    <t>Реконструкция мостового перехода через р. Большая Печенга на км 32+586 автомобильной дороги Никель - Приречный-а/д "Лотта"</t>
  </si>
  <si>
    <t>Реконструкция автомобильной дороги Апатиты-Кировск, км 2+688 — км 14+314</t>
  </si>
  <si>
    <t>2023-2025</t>
  </si>
  <si>
    <t xml:space="preserve">15.06.2023 заключен контракт. Ведутся работы по подготовке рабочей документации, мобилизации техники и материалов. </t>
  </si>
  <si>
    <t>Реконструкция мостового перехода через р. Большая Печенга на км 32+586 автомобильной дороги Никель - Приречный-а/д "Лотта"                       
подготовка территории тсроительства  - 20% Демонтаж опор №1-4 - 100%             
Демонтаж существующего моста - 0%    
Демонтажные работы - 0%                                               
Земляное полотно - 94%                                               
Планировочные и укрепительные работы - 2%                                         
Опора моста №1 - 100 %                  
Опора моста №2 - 100 %                             
Опора  моста №3 - 100 %                                                          
Опора моста № 4 - 100 % Пролетное строение - 40%                                                                    Опорные части - 50%
Демонтаж опор №1, №3 - 0%                                        
Демонтаж опоры №2 - 0% 
Сопряжение опоры №1 и опоры №4 с насыпью подходов - 50%
Конусы на 2 сопряжения - 29%                                                   
Закрыт 2-й этап.                                                                                   Технологический перерыв до 31.03.2024.                                                 Общее выполнение – 46%.</t>
  </si>
  <si>
    <t>Оценка (уточненные данные будут предоставлены после 15 августа 2024 года). Показатель рассчитывается на основании предварительных данных половозрастного состава умерших (без учета окончательных медицинских свидетельств), распределенных по однолетним возрастам и предварительной оценки возрастно-полового состава населения. В связи с этим возможно не достижение планового значения показателя.</t>
  </si>
  <si>
    <t>Увеличение показателя связано с увеличения льготного периода на обеспечение лекарственными препаратами до 2 лет  (приложение 8 постановления Правительства Российской Федерации от 26.12.2017 № 1640 (редакция от 24.12.2021)</t>
  </si>
  <si>
    <t>Проведение профилактических медицинских осмотров и диспансеризации населения.</t>
  </si>
  <si>
    <t>Причины не достижения показателя и отсутствие положительной динамики:  
1. Увольнение СМП пенсионного возраста для перерасчета страховой пенсии.
2. Выход на пенсию.
3. Увольнение в связи с переездом СМП из районов Крайнего Севера в другие регионы на постоянное место жительства.</t>
  </si>
  <si>
    <t>Эффективная работа центров содействия трудоустройству выпускников колледжей с будущими выпускниками, находящимися под риском не трудоустройства. Не трудоустроившимся по окончанию обучения в колледжах направляется информация о вакансиях, адресные предложения от работодателей, проводятся консультации по составлению резюме, соответствующего современным стандартам требований работодателя</t>
  </si>
  <si>
    <t>В 2022 году в среднем в 5 раз увеличена единовременное денежное вознаграждение за высокие спортивные результаты спортсменов и их тренеров</t>
  </si>
  <si>
    <t>Социологический опрос не проводился, данные о фактическом достижении показателя отсутствуют</t>
  </si>
  <si>
    <t>В связи с отсутствием финансирования, ввиду высокой стоимости услуг по сбору и обобщению информации, рассматривается вопрос об исключении показателя из государственной программы.</t>
  </si>
  <si>
    <t>Превышение планового значения показателя обусловлено тем, что в рамках выделенного финансирования на реализацию мероприятий плана работ («дорожной карты») по проведению государственных историко-культурных экспертиз, разработке границ территорий, предметов охраны, зон охраны, проведению инструментального контроля (экспертиз) объектов культурного наследия, расположенных на территории Мурманской области, на 2022 – 2026 годы",  утвержденного распоряжением Губернатора Мурманской области от 14.03.2022 № 59-РГ, была проведена закупочная процедура, в результате которой уменьшилась стоимость услуг, что позволило обеспечить зонами охраны большее количество объектов культурного наследия регионального значения.</t>
  </si>
  <si>
    <t xml:space="preserve"> Отрицательная динамика относительно 2022 года  обусловлена тем, что 2023 году музеями проводились выставки с меньшим привлечением других фондов, но тем не менее, число, проведенных выставок, больше планируемого, в связи с чем возросло число экспонируемых музейных предметов и музейных коллекций, а следовательно фактическое значение показателя выше планового значения</t>
  </si>
  <si>
    <t>В Мурманской области проживает 109898 человек в возрасте от 15 до 30 лет (Мурманстат), количество зарегистрированных пользователей библиотек этого возраста - 89722 человек. Превышение показателя вызвано открытием новых пространств СОПКИ.СЕМЬЯ, СОПКИ на базе библиотек и новых 5 модельных библиотек.</t>
  </si>
  <si>
    <t>Количество поданных заявок превысило плановое значение</t>
  </si>
  <si>
    <t>Отклонение связано с тем, что плановые значения декомпозиции рассчитаны на основании федеральной методики</t>
  </si>
  <si>
    <t>В настоящее время вносятся изменения в федеральную методику с целью применения в качестве расчетных показателей 2023 года. При внесении данных изменений значения показателя подлежат корректировке</t>
  </si>
  <si>
    <t>Проведение разъяснительной работы с собственниками (в различных формах: путём размещения информации на информационных стендах, работа со СМИ и т.д.) о негативных последствиях непроведения капитального ремонта</t>
  </si>
  <si>
    <t>Значение показателя увеличилось, поскольку добавлен один водный объект оз. Федосеевское в перечень наблюдаемых водных объектов. Всего проведен мониторинг на 10 водных объектах, на 13 участках общей протяженностью 36,13 км</t>
  </si>
  <si>
    <t>В 2023 году проведено 80 мероприятий по очистке берегов от мусора, в которых приняли участие 2,165 человек, очищено 79,8 км береговой полосы, что повлияло на превышение показателя нарастающим итогом</t>
  </si>
  <si>
    <t>Будет проведен анализ прогнозируемого объема вылова водных биоресурсов с изучением влияния фактора изменения научно обоснованных квот вылова водных биоресурсов в качестве фактора риска.</t>
  </si>
  <si>
    <t xml:space="preserve">Показатель включен в соответствии с соглашением о предоставлении субсидии из федерального бюджета бюджету субъекта Российской Федерации от 26.12.2022 № № 082-09-2023-150. Значение показателя по годам, установленные в указанном соглашении: 2023 - 9,6 тыс. тонн; 2024 - 15,5 тыс. тонн; 2025 - 15,8 тыс. тонн. Таким образом фактически показатель имеет направленность на рост. Направленность на снижение, указанная в действующей редакции государственной программы является технической ошибкой и будет исправлена при ближайшем внесении изменений в государственную программу. </t>
  </si>
  <si>
    <t xml:space="preserve">По предварительным данным поголовье оленей в СХО, КФХ и ИП составило 51,3 тыс. голов (96% к уровню предыдущего периода). Снижение связано с сокращением стада СХПК "Тундра" по причине высокого непроизводительного отхода поголовья в 2023 году. </t>
  </si>
  <si>
    <t>Плановые значения показателя будут скорректированы в гос. программе в соответствии с приказом Минсельхоза России от 02.02.2023 № 65.</t>
  </si>
  <si>
    <t>Минсельхозом России (доп. соглашение к Соглашению о реализации регионального проекта «Экспорт продукции АПК» на территории Мурманской области от 13.04.2023 № 082-2019-T20035-1/4) установлены более низкие, чем запланировано,  показатели экспорта на 2023 и 2024 годы. Плановые значения показателя будут скорректированы в гос. программе.</t>
  </si>
  <si>
    <t>Из 685 граждан, подвергшихся нападениям и укусам животными, 407 случаев связано с нападениями и укусами животными без владельцев, что составило 59%. Необходимо отметить, что растет число агрессивных животных среди стерилизованных животных без владельцев.</t>
  </si>
  <si>
    <t>Увеличение численности занятых связано с увеличением по итогам отчетного года количества самозанятых граждан и индивидуальных предпринимателей</t>
  </si>
  <si>
    <t>Проведены рабочие совещания по улучшению проблемных показателей с отраслевыми ИО МО. Также вопрос об улучшении проблемных показателей был вынесен на заседание инвестиционного комитета Мурманской области под председательством Губернатора Мурманской области. Принятые решения взяты на исполнение отраслевыми ИО МО</t>
  </si>
  <si>
    <t xml:space="preserve">Оценка. Фактическое значение указано на уровне планового, в связи с тем, что официальные статистические данные за 2023 год будут представлены в апреле 2024 года </t>
  </si>
  <si>
    <t>Показатель перевыполнен в связи с заявительным принципом реализации мероприятия, направленного на достижение данного показателя (по итогам конкурсного отбора было поддержано большее количество предпринимательских инициатив по обустройству и модернизации туристских ресурсов в рамках национального маршрута)</t>
  </si>
  <si>
    <t xml:space="preserve">В результате совместных мероприятий (на федеральном и региональном уровнях) по выводу на ЕПГУ услуг из перечня МСЗУ, а также соответствующей информационной кампании в СМИ и интернет-ресурсах, возросла активность использования населением электронного формата госуслуг. Это повлекло за собой более активную регистрацию граждан в ЕСИА.                                                                                                                                                                                                          Отсутствует механизм точного прогноза планового значения показателя. Фактическое значение показателя зависит от выведенных на ЕПГУ услуг органов власти федерального, регионального и местного уровней, а также степени их востребованности у населения
</t>
  </si>
  <si>
    <t>Труднопрогнозируемость точного планирования профилактических и аварийно-восстановительных работ дает небольшую погрешность в достижении значения показателя</t>
  </si>
  <si>
    <t>Развитие Портала приема и обработки сообщений по вопросам повышения качества жизни и обеспечению развития Мурманской области «Наш Север» направлено на массовое вовлечения граждан в решение вопросов городского развития, проведения голосования граждан по решению вопросов городского развития Портале приема и обработки сообщений по вопросам повышения качества жизни и обеспечению развития Мурманской области «Наш Север». Портал как платформа обратной связи населения и органов государственной власти в результате рекламы в СМИ и сети Интернет в 2023 году получил большее количество активных пользователей.                                                                                                                                   В 2023 году изменена методика вычисления показателя</t>
  </si>
  <si>
    <t xml:space="preserve">Недостижение показателя по следующим причинам:
1. Увольнение врачей пенсионного возраста для перерасчета страховой пенсии.
2. Выход на пенсию.
3. Увольнение в связи с переездом врачей-специалистов из районов Крайнего Севера в другие регионы на постоянное место жительства
</t>
  </si>
  <si>
    <t>Причинами недостижения показателя и отсутствия положительной динамики являются изменение численности медицинских работников в течение года, увольнение работников, планируемых для прохождения аккредитации, и трудоустройство медицинских работников, имеющих действующую аккредитацию.</t>
  </si>
  <si>
    <t xml:space="preserve">Перевыполнение плана сложилось в связи с увеличением объема стимулирующих выплат. Недостижение положительной динамики обусловлено большим количеством случаев совместительства в предыдущем году из-за нехватки педагогических работников  </t>
  </si>
  <si>
    <t xml:space="preserve">Недостижение положительной динамики обусловлено большим числом случаев совместительства в предыдущем году из-за нехватки педагогических работников  </t>
  </si>
  <si>
    <t>Причины, повлиявшие на недостижение показателя, являются форс-мажором</t>
  </si>
  <si>
    <t>Невыполнение некоторых мероприятий связано с заявительным характером, также по результатам определения поставщика (исполнителя, подрядчика) одна закупка была признана несостоявшейся в связи с отсутствием заявок.
Экономия денежных средств в результате проведения закупочных процедур.</t>
  </si>
  <si>
    <t>Неосвоение средств и невыполнение мероприятий связано с нарушением контрагентом обязательств по контракту (сроков передачи предмета лизинга в лизинг) и несостоявшейся закупкой</t>
  </si>
  <si>
    <t>Неосвоение средств ФБ в связи с несостоявшейся закупкой на выполнение работ по дноуглублению р. Варзуга из-за отсутствия заявок</t>
  </si>
  <si>
    <t>Средства ФБ частично отозваны в конце финансового года, в гос программу не внесены изменения в плановые значения, в связи с чем степень освоения средств значительно меньше</t>
  </si>
  <si>
    <t xml:space="preserve">Низкая степень освоения средств связана с отменой мероприятия и его переносом на более поздний срок по независящим от сторон обстоятельствам по проведению Презентации инвестиционного и туристического потенциала Мурманской области с представлением комплексной экспозиции в Культурном центре МИД России (г. Москва) </t>
  </si>
  <si>
    <t>Министерство развития Арктики и экономики МО, Комитет по тарифному регулированию МО, Комитет по туризму МО</t>
  </si>
  <si>
    <t>Неполное освоение средств сложилось по расходам на обслуживание государственного долга Мурманской области связи с меньшей необходимостью привлечения кредитов кредитных организаций в течение года (в связи с достаточным поступлением налоговых доходов)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</si>
</sst>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0.0"/>
    <numFmt numFmtId="165" formatCode="#,##0.000"/>
    <numFmt numFmtId="166" formatCode="0.0%"/>
    <numFmt numFmtId="167" formatCode="0.0"/>
    <numFmt numFmtId="168" formatCode="0.000"/>
    <numFmt numFmtId="169" formatCode="#,##0.00000"/>
  </numFmts>
  <fonts count="83" x14ac:knownFonts="1">
    <font>
      <sz val="11"/>
      <color theme="1"/>
      <name val="Calibri"/>
      <family val="2"/>
      <charset val="204"/>
      <scheme val="minor"/>
    </font>
    <font>
      <sz val="11"/>
      <color rgb="FF9C0006"/>
      <name val="Calibri"/>
      <family val="2"/>
      <charset val="204"/>
      <scheme val="minor"/>
    </font>
    <font>
      <sz val="8"/>
      <color theme="1"/>
      <name val="Times New Roman"/>
      <family val="1"/>
      <charset val="204"/>
    </font>
    <font>
      <sz val="10"/>
      <name val="Arial"/>
      <family val="2"/>
      <charset val="204"/>
    </font>
    <font>
      <sz val="10"/>
      <color rgb="FF000000"/>
      <name val="Arial Cyr"/>
      <family val="2"/>
    </font>
    <font>
      <sz val="10"/>
      <color rgb="FF000000"/>
      <name val="Arial Cyr"/>
    </font>
    <font>
      <b/>
      <sz val="14"/>
      <color theme="1"/>
      <name val="Times New Roman"/>
      <family val="1"/>
      <charset val="204"/>
    </font>
    <font>
      <sz val="12"/>
      <name val="Times New Roman"/>
      <family val="1"/>
      <charset val="204"/>
    </font>
    <font>
      <sz val="12"/>
      <color theme="1"/>
      <name val="Times New Roman"/>
      <family val="1"/>
      <charset val="204"/>
    </font>
    <font>
      <sz val="11"/>
      <color theme="1"/>
      <name val="Calibri"/>
      <family val="2"/>
      <charset val="204"/>
      <scheme val="minor"/>
    </font>
    <font>
      <sz val="11"/>
      <color rgb="FF006100"/>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8"/>
      <name val="Times New Roman"/>
      <family val="1"/>
      <charset val="204"/>
    </font>
    <font>
      <sz val="8"/>
      <name val="Times New Roman"/>
      <family val="1"/>
      <charset val="204"/>
    </font>
    <font>
      <sz val="9"/>
      <name val="Times New Roman"/>
      <family val="1"/>
      <charset val="204"/>
    </font>
    <font>
      <sz val="10"/>
      <color rgb="FF000000"/>
      <name val="Arial"/>
      <family val="2"/>
      <charset val="204"/>
    </font>
    <font>
      <b/>
      <sz val="15"/>
      <color theme="3"/>
      <name val="Calibri"/>
      <family val="2"/>
      <scheme val="minor"/>
    </font>
    <font>
      <b/>
      <sz val="13"/>
      <color theme="3"/>
      <name val="Calibri"/>
      <family val="2"/>
      <scheme val="minor"/>
    </font>
    <font>
      <b/>
      <sz val="11"/>
      <color theme="3"/>
      <name val="Calibri"/>
      <family val="2"/>
      <scheme val="minor"/>
    </font>
    <font>
      <sz val="11"/>
      <color indexed="8"/>
      <name val="Calibri"/>
      <family val="2"/>
      <charset val="204"/>
    </font>
    <font>
      <b/>
      <sz val="18"/>
      <color theme="3"/>
      <name val="Cambria"/>
      <family val="2"/>
      <charset val="204"/>
    </font>
    <font>
      <sz val="10"/>
      <name val="Arial Cyr"/>
      <charset val="204"/>
    </font>
    <font>
      <sz val="10"/>
      <color theme="1"/>
      <name val="Times New Roman"/>
      <family val="2"/>
      <charset val="204"/>
    </font>
    <font>
      <sz val="10"/>
      <name val="Helv"/>
    </font>
    <font>
      <sz val="10"/>
      <color indexed="8"/>
      <name val="Times New Roman"/>
      <family val="2"/>
      <charset val="204"/>
    </font>
    <font>
      <sz val="8"/>
      <color indexed="8"/>
      <name val="Times New Roman"/>
      <family val="1"/>
      <charset val="204"/>
    </font>
    <font>
      <sz val="8"/>
      <color theme="1"/>
      <name val="Calibri"/>
      <family val="2"/>
      <charset val="204"/>
      <scheme val="minor"/>
    </font>
    <font>
      <b/>
      <sz val="9"/>
      <name val="Times New Roman"/>
      <family val="1"/>
      <charset val="204"/>
    </font>
    <font>
      <b/>
      <sz val="12"/>
      <name val="Times New Roman"/>
      <family val="1"/>
      <charset val="204"/>
    </font>
    <font>
      <sz val="11"/>
      <name val="Times New Roman"/>
      <family val="1"/>
      <charset val="204"/>
    </font>
    <font>
      <sz val="12"/>
      <color indexed="8"/>
      <name val="Times New Roman"/>
      <family val="1"/>
      <charset val="204"/>
    </font>
    <font>
      <b/>
      <sz val="12"/>
      <color indexed="8"/>
      <name val="Times New Roman"/>
      <family val="1"/>
      <charset val="204"/>
    </font>
    <font>
      <sz val="10"/>
      <color indexed="8"/>
      <name val="Arial"/>
      <family val="2"/>
      <charset val="204"/>
    </font>
    <font>
      <sz val="8"/>
      <name val="Times New Roman"/>
      <family val="1"/>
    </font>
    <font>
      <sz val="11"/>
      <color indexed="8"/>
      <name val="Times New Roman"/>
      <family val="2"/>
      <charset val="204"/>
    </font>
    <font>
      <b/>
      <sz val="11"/>
      <color indexed="8"/>
      <name val="Times New Roman"/>
      <family val="1"/>
      <charset val="204"/>
    </font>
    <font>
      <sz val="11"/>
      <color indexed="8"/>
      <name val="Times New Roman"/>
      <family val="1"/>
      <charset val="204"/>
    </font>
    <font>
      <sz val="8"/>
      <color indexed="8"/>
      <name val="Times New Roman"/>
      <family val="2"/>
      <charset val="204"/>
    </font>
    <font>
      <sz val="8"/>
      <name val="Times New Roman"/>
      <family val="2"/>
      <charset val="204"/>
    </font>
    <font>
      <b/>
      <sz val="8"/>
      <name val="Times New Roman"/>
      <family val="2"/>
      <charset val="204"/>
    </font>
    <font>
      <b/>
      <u/>
      <sz val="9"/>
      <name val="Times New Roman"/>
      <family val="1"/>
      <charset val="204"/>
    </font>
    <font>
      <sz val="10"/>
      <color indexed="8"/>
      <name val="Times New Roman"/>
      <family val="1"/>
      <charset val="204"/>
    </font>
    <font>
      <b/>
      <sz val="8"/>
      <name val="Arial"/>
      <family val="2"/>
      <charset val="204"/>
    </font>
    <font>
      <b/>
      <sz val="8"/>
      <color rgb="FF333333"/>
      <name val="Times New Roman"/>
      <family val="1"/>
      <charset val="204"/>
    </font>
    <font>
      <sz val="8"/>
      <color rgb="FF333333"/>
      <name val="Times New Roman"/>
      <family val="1"/>
      <charset val="204"/>
    </font>
    <font>
      <sz val="8"/>
      <name val="Arial"/>
      <family val="2"/>
      <charset val="204"/>
    </font>
    <font>
      <sz val="8"/>
      <color rgb="FF0070C0"/>
      <name val="Wingdings 3"/>
      <family val="1"/>
      <charset val="2"/>
    </font>
    <font>
      <sz val="8"/>
      <color rgb="FF00B050"/>
      <name val="Wingdings 3"/>
      <family val="1"/>
      <charset val="2"/>
    </font>
    <font>
      <u/>
      <sz val="11"/>
      <color theme="10"/>
      <name val="Calibri"/>
      <family val="2"/>
      <charset val="204"/>
      <scheme val="minor"/>
    </font>
    <font>
      <sz val="8"/>
      <name val="Calibri"/>
      <family val="2"/>
      <charset val="204"/>
    </font>
    <font>
      <sz val="8"/>
      <color rgb="FF000000"/>
      <name val="Times New Roman"/>
      <family val="1"/>
      <charset val="204"/>
    </font>
    <font>
      <b/>
      <sz val="8"/>
      <name val="Calibri"/>
      <family val="2"/>
      <charset val="204"/>
    </font>
    <font>
      <sz val="8"/>
      <color theme="1"/>
      <name val="Times New Roman"/>
      <family val="1"/>
    </font>
    <font>
      <b/>
      <sz val="8"/>
      <name val="Times New Roman"/>
      <family val="1"/>
    </font>
    <font>
      <b/>
      <sz val="12"/>
      <color rgb="FF333333"/>
      <name val="Times New Roman"/>
      <family val="1"/>
      <charset val="204"/>
    </font>
    <font>
      <b/>
      <sz val="8"/>
      <color theme="1"/>
      <name val="Times New Roman"/>
      <family val="1"/>
      <charset val="204"/>
    </font>
    <font>
      <sz val="12"/>
      <color indexed="8"/>
      <name val="Times New Roman"/>
      <family val="2"/>
      <charset val="204"/>
    </font>
    <font>
      <sz val="8"/>
      <color theme="1"/>
      <name val="Times New Roman"/>
      <family val="2"/>
      <charset val="204"/>
    </font>
    <font>
      <sz val="10"/>
      <color theme="1"/>
      <name val="Times New Roman"/>
      <family val="1"/>
      <charset val="204"/>
    </font>
    <font>
      <b/>
      <sz val="10"/>
      <name val="Wingdings"/>
      <charset val="2"/>
    </font>
    <font>
      <b/>
      <sz val="10"/>
      <name val="Times New Roman"/>
      <family val="1"/>
      <charset val="204"/>
    </font>
    <font>
      <b/>
      <sz val="12"/>
      <color theme="1"/>
      <name val="Times New Roman"/>
      <family val="1"/>
      <charset val="204"/>
    </font>
    <font>
      <sz val="8"/>
      <name val="Calibri"/>
      <family val="2"/>
      <charset val="204"/>
      <scheme val="minor"/>
    </font>
    <font>
      <sz val="10"/>
      <color rgb="FF000000"/>
      <name val="Times New Roman"/>
      <family val="1"/>
      <charset val="204"/>
    </font>
    <font>
      <b/>
      <sz val="11"/>
      <color theme="1"/>
      <name val="Times New Roman"/>
      <family val="1"/>
      <charset val="204"/>
    </font>
    <font>
      <b/>
      <sz val="8"/>
      <color rgb="FF000000"/>
      <name val="Times New Roman"/>
      <family val="1"/>
      <charset val="204"/>
    </font>
    <font>
      <u/>
      <sz val="8"/>
      <name val="Times New Roman"/>
      <family val="1"/>
      <charset val="204"/>
    </font>
    <font>
      <sz val="11"/>
      <color theme="1"/>
      <name val="Times"/>
      <family val="1"/>
    </font>
    <font>
      <b/>
      <sz val="11"/>
      <name val="Wingdings"/>
      <charset val="2"/>
    </font>
    <font>
      <b/>
      <sz val="11"/>
      <name val="Times New Roman"/>
      <family val="1"/>
      <charset val="204"/>
    </font>
    <font>
      <sz val="11"/>
      <color indexed="10"/>
      <name val="Times New Roman"/>
      <family val="1"/>
      <charset val="204"/>
    </font>
    <font>
      <sz val="12"/>
      <color indexed="64"/>
      <name val="Times New Roman"/>
      <family val="1"/>
      <charset val="204"/>
    </font>
    <font>
      <sz val="11"/>
      <color theme="1"/>
      <name val="Times New Roman"/>
      <family val="1"/>
      <charset val="204"/>
    </font>
    <font>
      <b/>
      <i/>
      <sz val="8"/>
      <name val="Times New Roman"/>
      <family val="1"/>
      <charset val="204"/>
    </font>
  </fonts>
  <fills count="52">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99FF99"/>
        <bgColor indexed="64"/>
      </patternFill>
    </fill>
    <fill>
      <patternFill patternType="solid">
        <fgColor theme="0" tint="-0.14999847407452621"/>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indexed="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65"/>
        <bgColor indexed="64"/>
      </patternFill>
    </fill>
    <fill>
      <patternFill patternType="solid">
        <fgColor rgb="FFFFFF00"/>
        <bgColor indexed="64"/>
      </patternFill>
    </fill>
    <fill>
      <patternFill patternType="solid">
        <fgColor theme="5" tint="0.79998168889431442"/>
        <bgColor indexed="64"/>
      </patternFill>
    </fill>
    <fill>
      <patternFill patternType="solid">
        <fgColor indexed="9"/>
        <bgColor indexed="64"/>
      </patternFill>
    </fill>
    <fill>
      <patternFill patternType="solid">
        <fgColor rgb="FFFFC000"/>
        <bgColor indexed="64"/>
      </patternFill>
    </fill>
    <fill>
      <patternFill patternType="solid">
        <fgColor theme="0"/>
        <bgColor theme="0"/>
      </patternFill>
    </fill>
    <fill>
      <patternFill patternType="solid">
        <fgColor rgb="FFE6B9B8"/>
        <bgColor indexed="64"/>
      </patternFill>
    </fill>
    <fill>
      <patternFill patternType="solid">
        <fgColor rgb="FF00FF99"/>
        <bgColor indexed="64"/>
      </patternFill>
    </fill>
    <fill>
      <patternFill patternType="solid">
        <fgColor theme="3" tint="0.79998168889431442"/>
        <bgColor indexed="64"/>
      </patternFill>
    </fill>
    <fill>
      <patternFill patternType="solid">
        <fgColor indexed="22"/>
        <bgColor indexed="64"/>
      </patternFill>
    </fill>
    <fill>
      <patternFill patternType="solid">
        <fgColor rgb="FFCCFFCC"/>
        <bgColor indexed="64"/>
      </patternFill>
    </fill>
    <fill>
      <patternFill patternType="solid">
        <fgColor theme="0" tint="-0.249977111117893"/>
        <bgColor indexed="64"/>
      </patternFill>
    </fill>
    <fill>
      <patternFill patternType="solid">
        <fgColor rgb="FFFFFFFF"/>
        <bgColor indexed="64"/>
      </patternFill>
    </fill>
    <fill>
      <patternFill patternType="solid">
        <fgColor rgb="FFFF8181"/>
        <bgColor indexed="64"/>
      </patternFill>
    </fill>
    <fill>
      <patternFill patternType="solid">
        <fgColor theme="0"/>
        <bgColor indexed="5"/>
      </patternFill>
    </fill>
    <fill>
      <patternFill patternType="solid">
        <fgColor theme="0"/>
        <bgColor theme="4" tint="0.39997558519241921"/>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D9D9D9"/>
      </left>
      <right style="thin">
        <color rgb="FFD9D9D9"/>
      </right>
      <top/>
      <bottom style="thin">
        <color rgb="FFD9D9D9"/>
      </bottom>
      <diagonal/>
    </border>
    <border>
      <left style="thin">
        <color indexed="22"/>
      </left>
      <right style="thin">
        <color indexed="22"/>
      </right>
      <top/>
      <bottom style="thin">
        <color indexed="2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79">
    <xf numFmtId="0" fontId="0" fillId="0" borderId="0"/>
    <xf numFmtId="0" fontId="3" fillId="0" borderId="0"/>
    <xf numFmtId="49" fontId="4" fillId="0" borderId="10">
      <alignment horizontal="left" shrinkToFit="1"/>
    </xf>
    <xf numFmtId="4" fontId="5" fillId="0" borderId="10">
      <alignment horizontal="right" vertical="top" shrinkToFit="1"/>
    </xf>
    <xf numFmtId="0" fontId="3" fillId="0" borderId="0"/>
    <xf numFmtId="9" fontId="3" fillId="0" borderId="0" applyFont="0" applyFill="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0" fillId="28" borderId="0" applyNumberFormat="0" applyBorder="0" applyAlignment="0" applyProtection="0"/>
    <xf numFmtId="0" fontId="1" fillId="29" borderId="0" applyNumberFormat="0" applyBorder="0" applyAlignment="0" applyProtection="0"/>
    <xf numFmtId="0" fontId="14" fillId="30" borderId="15" applyNumberFormat="0" applyAlignment="0" applyProtection="0"/>
    <xf numFmtId="0" fontId="16" fillId="31" borderId="18" applyNumberFormat="0" applyAlignment="0" applyProtection="0"/>
    <xf numFmtId="4" fontId="24" fillId="0" borderId="21">
      <alignment horizontal="right" vertical="top" shrinkToFit="1"/>
    </xf>
    <xf numFmtId="0" fontId="18" fillId="0" borderId="0" applyNumberFormat="0" applyFill="0" applyBorder="0" applyAlignment="0" applyProtection="0"/>
    <xf numFmtId="0" fontId="10" fillId="32" borderId="0" applyNumberFormat="0" applyBorder="0" applyAlignment="0" applyProtection="0"/>
    <xf numFmtId="0" fontId="25" fillId="0" borderId="12" applyNumberFormat="0" applyFill="0" applyAlignment="0" applyProtection="0"/>
    <xf numFmtId="0" fontId="26" fillId="0" borderId="13" applyNumberFormat="0" applyFill="0" applyAlignment="0" applyProtection="0"/>
    <xf numFmtId="0" fontId="27" fillId="0" borderId="14" applyNumberFormat="0" applyFill="0" applyAlignment="0" applyProtection="0"/>
    <xf numFmtId="0" fontId="27" fillId="0" borderId="0" applyNumberFormat="0" applyFill="0" applyBorder="0" applyAlignment="0" applyProtection="0"/>
    <xf numFmtId="0" fontId="12" fillId="33" borderId="15" applyNumberFormat="0" applyAlignment="0" applyProtection="0"/>
    <xf numFmtId="0" fontId="15" fillId="0" borderId="17" applyNumberFormat="0" applyFill="0" applyAlignment="0" applyProtection="0"/>
    <xf numFmtId="0" fontId="11" fillId="34" borderId="0" applyNumberFormat="0" applyBorder="0" applyAlignment="0" applyProtection="0"/>
    <xf numFmtId="0" fontId="28" fillId="35" borderId="19" applyNumberFormat="0" applyFont="0" applyAlignment="0" applyProtection="0"/>
    <xf numFmtId="0" fontId="13" fillId="30" borderId="16" applyNumberFormat="0" applyAlignment="0" applyProtection="0"/>
    <xf numFmtId="0" fontId="29" fillId="0" borderId="0" applyNumberFormat="0" applyFill="0" applyBorder="0" applyAlignment="0" applyProtection="0"/>
    <xf numFmtId="0" fontId="19" fillId="0" borderId="20" applyNumberFormat="0" applyFill="0" applyAlignment="0" applyProtection="0"/>
    <xf numFmtId="0" fontId="17" fillId="0" borderId="0" applyNumberFormat="0" applyFill="0" applyBorder="0" applyAlignment="0" applyProtection="0"/>
    <xf numFmtId="44" fontId="28" fillId="0" borderId="0" applyFont="0" applyFill="0" applyBorder="0" applyAlignment="0" applyProtection="0"/>
    <xf numFmtId="0" fontId="30" fillId="36" borderId="0"/>
    <xf numFmtId="0" fontId="9" fillId="0" borderId="0"/>
    <xf numFmtId="0" fontId="9" fillId="0" borderId="0"/>
    <xf numFmtId="0" fontId="9" fillId="0" borderId="0"/>
    <xf numFmtId="0" fontId="31" fillId="0" borderId="0"/>
    <xf numFmtId="0" fontId="31" fillId="0" borderId="0"/>
    <xf numFmtId="0" fontId="1" fillId="2" borderId="0" applyNumberFormat="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31" fillId="0" borderId="0" applyFont="0" applyFill="0" applyBorder="0" applyAlignment="0" applyProtection="0"/>
    <xf numFmtId="0" fontId="32" fillId="0" borderId="0"/>
    <xf numFmtId="164" fontId="28" fillId="0" borderId="0" applyFont="0" applyFill="0" applyBorder="0" applyAlignment="0" applyProtection="0"/>
    <xf numFmtId="164" fontId="28" fillId="0" borderId="0" applyFont="0" applyFill="0" applyBorder="0" applyAlignment="0" applyProtection="0"/>
    <xf numFmtId="169" fontId="3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4" fontId="41" fillId="0" borderId="22">
      <alignment horizontal="right" vertical="top" shrinkToFit="1"/>
    </xf>
    <xf numFmtId="4" fontId="24" fillId="0" borderId="21">
      <alignment horizontal="right" vertical="top" shrinkToFit="1"/>
    </xf>
    <xf numFmtId="44" fontId="9" fillId="0" borderId="0" applyFont="0" applyFill="0" applyBorder="0" applyAlignment="0" applyProtection="0"/>
    <xf numFmtId="0" fontId="57" fillId="0" borderId="0" applyNumberFormat="0" applyFill="0" applyBorder="0" applyAlignment="0" applyProtection="0"/>
    <xf numFmtId="4" fontId="24" fillId="0" borderId="21">
      <alignment horizontal="right" vertical="top" shrinkToFit="1"/>
    </xf>
    <xf numFmtId="0" fontId="65" fillId="0" borderId="0"/>
    <xf numFmtId="0" fontId="30" fillId="0" borderId="0"/>
    <xf numFmtId="0" fontId="28" fillId="0" borderId="0"/>
    <xf numFmtId="9" fontId="28" fillId="0" borderId="0" applyFont="0" applyFill="0" applyBorder="0" applyAlignment="0" applyProtection="0"/>
    <xf numFmtId="0" fontId="57" fillId="0" borderId="0" applyNumberFormat="0" applyFill="0" applyBorder="0" applyAlignment="0" applyProtection="0"/>
    <xf numFmtId="0" fontId="9" fillId="0" borderId="0"/>
    <xf numFmtId="0" fontId="9" fillId="0" borderId="0"/>
    <xf numFmtId="0" fontId="80" fillId="0" borderId="0"/>
    <xf numFmtId="0" fontId="3" fillId="0" borderId="0"/>
  </cellStyleXfs>
  <cellXfs count="1112">
    <xf numFmtId="0" fontId="0" fillId="0" borderId="0" xfId="0"/>
    <xf numFmtId="49" fontId="33" fillId="0" borderId="0" xfId="53" applyNumberFormat="1" applyFont="1" applyFill="1" applyBorder="1" applyAlignment="1">
      <alignment horizontal="center"/>
    </xf>
    <xf numFmtId="0" fontId="33" fillId="0" borderId="0" xfId="53" applyFont="1" applyBorder="1"/>
    <xf numFmtId="0" fontId="43" fillId="0" borderId="0" xfId="53" applyFont="1" applyBorder="1" applyAlignment="1">
      <alignment horizontal="right"/>
    </xf>
    <xf numFmtId="0" fontId="9" fillId="0" borderId="0" xfId="51"/>
    <xf numFmtId="0" fontId="45" fillId="0" borderId="0" xfId="53" applyFont="1" applyFill="1" applyBorder="1" applyAlignment="1">
      <alignment horizontal="center" vertical="center"/>
    </xf>
    <xf numFmtId="0" fontId="47" fillId="0" borderId="1" xfId="1" applyFont="1" applyFill="1" applyBorder="1" applyAlignment="1" applyProtection="1">
      <alignment horizontal="center" vertical="center" wrapText="1"/>
      <protection hidden="1"/>
    </xf>
    <xf numFmtId="0" fontId="47" fillId="0" borderId="1" xfId="51" applyFont="1" applyBorder="1" applyAlignment="1" applyProtection="1">
      <alignment horizontal="center" vertical="center" wrapText="1"/>
      <protection locked="0"/>
    </xf>
    <xf numFmtId="168" fontId="47" fillId="0" borderId="1" xfId="1" applyNumberFormat="1" applyFont="1" applyFill="1" applyBorder="1" applyAlignment="1" applyProtection="1">
      <alignment horizontal="center" vertical="center" wrapText="1"/>
      <protection hidden="1"/>
    </xf>
    <xf numFmtId="0" fontId="48" fillId="0" borderId="1" xfId="53" applyFont="1" applyBorder="1" applyAlignment="1">
      <alignment horizontal="center" vertical="center" wrapText="1"/>
    </xf>
    <xf numFmtId="0" fontId="22" fillId="0" borderId="1" xfId="53" applyFont="1" applyBorder="1" applyAlignment="1">
      <alignment horizontal="center" vertical="center" wrapText="1"/>
    </xf>
    <xf numFmtId="49" fontId="22" fillId="0" borderId="1" xfId="53" applyNumberFormat="1" applyFont="1" applyFill="1" applyBorder="1" applyAlignment="1">
      <alignment horizontal="center" vertical="center" wrapText="1"/>
    </xf>
    <xf numFmtId="49" fontId="21" fillId="5" borderId="1" xfId="53" applyNumberFormat="1" applyFont="1" applyFill="1" applyBorder="1" applyAlignment="1">
      <alignment horizontal="center" vertical="center" wrapText="1"/>
    </xf>
    <xf numFmtId="0" fontId="21" fillId="5" borderId="1" xfId="1" applyFont="1" applyFill="1" applyBorder="1" applyAlignment="1" applyProtection="1">
      <alignment horizontal="left" vertical="center" wrapText="1"/>
      <protection hidden="1"/>
    </xf>
    <xf numFmtId="0" fontId="21" fillId="5" borderId="1" xfId="53" applyFont="1" applyFill="1" applyBorder="1" applyAlignment="1">
      <alignment horizontal="center" vertical="center" wrapText="1"/>
    </xf>
    <xf numFmtId="1" fontId="21" fillId="5" borderId="1" xfId="53" applyNumberFormat="1" applyFont="1" applyFill="1" applyBorder="1" applyAlignment="1">
      <alignment horizontal="center" vertical="center" wrapText="1"/>
    </xf>
    <xf numFmtId="0" fontId="9" fillId="0" borderId="0" xfId="51" applyFill="1"/>
    <xf numFmtId="49" fontId="21" fillId="0" borderId="1" xfId="1" applyNumberFormat="1" applyFont="1" applyFill="1" applyBorder="1" applyAlignment="1" applyProtection="1">
      <alignment horizontal="center" vertical="center" wrapText="1"/>
      <protection hidden="1"/>
    </xf>
    <xf numFmtId="166" fontId="49" fillId="4" borderId="1" xfId="56" applyNumberFormat="1" applyFont="1" applyFill="1" applyBorder="1" applyAlignment="1">
      <alignment horizontal="center" vertical="center" wrapText="1"/>
    </xf>
    <xf numFmtId="166" fontId="49" fillId="40" borderId="1" xfId="56" applyNumberFormat="1" applyFont="1" applyFill="1" applyBorder="1" applyAlignment="1">
      <alignment horizontal="center" vertical="center" wrapText="1"/>
    </xf>
    <xf numFmtId="10" fontId="9" fillId="0" borderId="0" xfId="51" applyNumberFormat="1"/>
    <xf numFmtId="166" fontId="22" fillId="0" borderId="1" xfId="56" applyNumberFormat="1" applyFont="1" applyFill="1" applyBorder="1" applyAlignment="1">
      <alignment horizontal="center" vertical="center" wrapText="1"/>
    </xf>
    <xf numFmtId="1" fontId="22" fillId="0" borderId="1" xfId="56" applyNumberFormat="1" applyFont="1" applyFill="1" applyBorder="1" applyAlignment="1">
      <alignment horizontal="center" vertical="center" wrapText="1"/>
    </xf>
    <xf numFmtId="10" fontId="21" fillId="0" borderId="1" xfId="56" applyNumberFormat="1" applyFont="1" applyFill="1" applyBorder="1" applyAlignment="1">
      <alignment horizontal="center" vertical="center" wrapText="1"/>
    </xf>
    <xf numFmtId="166" fontId="49" fillId="42" borderId="1" xfId="56" applyNumberFormat="1" applyFont="1" applyFill="1" applyBorder="1" applyAlignment="1">
      <alignment horizontal="center" vertical="center" wrapText="1"/>
    </xf>
    <xf numFmtId="10" fontId="49" fillId="4" borderId="1" xfId="56" applyNumberFormat="1" applyFont="1" applyFill="1" applyBorder="1" applyAlignment="1">
      <alignment horizontal="center" vertical="center" wrapText="1"/>
    </xf>
    <xf numFmtId="10" fontId="49" fillId="40" borderId="1" xfId="56" applyNumberFormat="1" applyFont="1" applyFill="1" applyBorder="1" applyAlignment="1">
      <alignment horizontal="center" vertical="center" wrapText="1"/>
    </xf>
    <xf numFmtId="0" fontId="33" fillId="0" borderId="0" xfId="53" applyFont="1" applyBorder="1" applyAlignment="1">
      <alignment horizontal="left"/>
    </xf>
    <xf numFmtId="0" fontId="50" fillId="0" borderId="0" xfId="51" applyFont="1" applyBorder="1" applyAlignment="1">
      <alignment horizontal="left" vertical="top"/>
    </xf>
    <xf numFmtId="0" fontId="9" fillId="0" borderId="0" xfId="51" applyAlignment="1">
      <alignment horizontal="center"/>
    </xf>
    <xf numFmtId="166" fontId="49" fillId="37" borderId="1" xfId="56" applyNumberFormat="1" applyFont="1" applyFill="1" applyBorder="1" applyAlignment="1">
      <alignment horizontal="center" vertical="center" wrapText="1"/>
    </xf>
    <xf numFmtId="0" fontId="21" fillId="3" borderId="0" xfId="4" applyFont="1" applyFill="1" applyAlignment="1" applyProtection="1">
      <alignment horizontal="center" vertical="top" wrapText="1"/>
      <protection hidden="1"/>
    </xf>
    <xf numFmtId="0" fontId="21" fillId="0" borderId="0" xfId="4" applyFont="1" applyBorder="1" applyAlignment="1" applyProtection="1">
      <alignment vertical="top" wrapText="1"/>
      <protection hidden="1"/>
    </xf>
    <xf numFmtId="0" fontId="51" fillId="3" borderId="0" xfId="4" applyFont="1" applyFill="1" applyBorder="1" applyAlignment="1" applyProtection="1">
      <alignment vertical="top" wrapText="1"/>
      <protection hidden="1"/>
    </xf>
    <xf numFmtId="0" fontId="21" fillId="3" borderId="0" xfId="4" applyFont="1" applyFill="1" applyBorder="1" applyAlignment="1" applyProtection="1">
      <alignment vertical="top" wrapText="1"/>
      <protection hidden="1"/>
    </xf>
    <xf numFmtId="0" fontId="21" fillId="3" borderId="0" xfId="4" applyFont="1" applyFill="1" applyBorder="1" applyAlignment="1" applyProtection="1">
      <alignment vertical="top"/>
      <protection hidden="1"/>
    </xf>
    <xf numFmtId="0" fontId="21" fillId="0" borderId="1" xfId="4" applyFont="1" applyFill="1" applyBorder="1" applyAlignment="1" applyProtection="1">
      <alignment horizontal="center" vertical="center" wrapText="1"/>
      <protection hidden="1"/>
    </xf>
    <xf numFmtId="0" fontId="22" fillId="0" borderId="1" xfId="4" applyFont="1" applyFill="1" applyBorder="1" applyAlignment="1" applyProtection="1">
      <alignment horizontal="center" vertical="center" wrapText="1"/>
      <protection hidden="1"/>
    </xf>
    <xf numFmtId="0" fontId="22" fillId="0" borderId="1" xfId="0" applyFont="1" applyBorder="1" applyAlignment="1">
      <alignment horizontal="left" vertical="top" wrapText="1"/>
    </xf>
    <xf numFmtId="0" fontId="22" fillId="0" borderId="1" xfId="0" applyFont="1" applyBorder="1" applyAlignment="1">
      <alignment horizontal="center" vertical="top" wrapText="1"/>
    </xf>
    <xf numFmtId="0" fontId="22" fillId="3" borderId="1" xfId="4" applyFont="1" applyFill="1" applyBorder="1" applyAlignment="1" applyProtection="1">
      <alignment horizontal="center" vertical="top" wrapText="1"/>
      <protection hidden="1"/>
    </xf>
    <xf numFmtId="166" fontId="22" fillId="3" borderId="1" xfId="4" applyNumberFormat="1" applyFont="1" applyFill="1" applyBorder="1" applyAlignment="1" applyProtection="1">
      <alignment horizontal="center" vertical="top" wrapText="1"/>
      <protection hidden="1"/>
    </xf>
    <xf numFmtId="0" fontId="22" fillId="0" borderId="1" xfId="0" applyFont="1" applyBorder="1" applyAlignment="1">
      <alignment vertical="top" wrapText="1"/>
    </xf>
    <xf numFmtId="0" fontId="22" fillId="3" borderId="6" xfId="0" applyFont="1" applyFill="1" applyBorder="1" applyAlignment="1">
      <alignment horizontal="center" vertical="top" wrapText="1"/>
    </xf>
    <xf numFmtId="164" fontId="22" fillId="3" borderId="1" xfId="0" applyNumberFormat="1" applyFont="1" applyFill="1" applyBorder="1" applyAlignment="1">
      <alignment horizontal="center" vertical="center"/>
    </xf>
    <xf numFmtId="49" fontId="21" fillId="0" borderId="0" xfId="1" applyNumberFormat="1" applyFont="1" applyAlignment="1" applyProtection="1">
      <alignment horizontal="center" vertical="top"/>
      <protection locked="0"/>
    </xf>
    <xf numFmtId="0" fontId="21" fillId="0" borderId="0" xfId="1" applyFont="1" applyAlignment="1" applyProtection="1">
      <alignment vertical="top"/>
      <protection locked="0"/>
    </xf>
    <xf numFmtId="0" fontId="51" fillId="0" borderId="0" xfId="4" applyFont="1" applyAlignment="1" applyProtection="1">
      <alignment vertical="top"/>
      <protection locked="0"/>
    </xf>
    <xf numFmtId="0" fontId="21" fillId="0" borderId="0" xfId="1" applyFont="1" applyAlignment="1" applyProtection="1">
      <alignment horizontal="center" vertical="top"/>
      <protection locked="0"/>
    </xf>
    <xf numFmtId="0" fontId="21" fillId="0" borderId="0" xfId="4" applyFont="1" applyAlignment="1" applyProtection="1">
      <alignment vertical="top"/>
      <protection locked="0"/>
    </xf>
    <xf numFmtId="0" fontId="21" fillId="3" borderId="0" xfId="1" applyFont="1" applyFill="1" applyAlignment="1" applyProtection="1">
      <alignment vertical="top"/>
      <protection locked="0"/>
    </xf>
    <xf numFmtId="0" fontId="51" fillId="3" borderId="0" xfId="4" applyFont="1" applyFill="1" applyAlignment="1" applyProtection="1">
      <alignment vertical="top"/>
      <protection locked="0"/>
    </xf>
    <xf numFmtId="0" fontId="22" fillId="0" borderId="0" xfId="4" applyFont="1" applyAlignment="1" applyProtection="1">
      <alignment vertical="top"/>
      <protection locked="0"/>
    </xf>
    <xf numFmtId="0" fontId="22" fillId="43" borderId="1" xfId="1" applyFont="1" applyFill="1" applyBorder="1" applyAlignment="1" applyProtection="1">
      <alignment vertical="top"/>
      <protection locked="0"/>
    </xf>
    <xf numFmtId="0" fontId="21" fillId="0" borderId="1" xfId="4" applyFont="1" applyBorder="1" applyAlignment="1" applyProtection="1">
      <alignment vertical="top"/>
      <protection locked="0"/>
    </xf>
    <xf numFmtId="0" fontId="51" fillId="0" borderId="1" xfId="4" applyFont="1" applyBorder="1" applyAlignment="1" applyProtection="1">
      <alignment vertical="top"/>
      <protection locked="0"/>
    </xf>
    <xf numFmtId="166" fontId="22" fillId="0" borderId="0" xfId="5" applyNumberFormat="1" applyFont="1" applyAlignment="1" applyProtection="1">
      <alignment vertical="top"/>
      <protection locked="0"/>
    </xf>
    <xf numFmtId="49" fontId="21" fillId="0" borderId="0" xfId="4" applyNumberFormat="1" applyFont="1" applyBorder="1" applyAlignment="1" applyProtection="1">
      <alignment horizontal="center" vertical="top" wrapText="1"/>
      <protection hidden="1"/>
    </xf>
    <xf numFmtId="10" fontId="21" fillId="0" borderId="1" xfId="4" applyNumberFormat="1" applyFont="1" applyBorder="1" applyAlignment="1" applyProtection="1">
      <alignment vertical="top"/>
      <protection locked="0"/>
    </xf>
    <xf numFmtId="0" fontId="22" fillId="0" borderId="0" xfId="1" applyFont="1" applyAlignment="1" applyProtection="1">
      <alignment vertical="top" wrapText="1"/>
      <protection locked="0"/>
    </xf>
    <xf numFmtId="0" fontId="22" fillId="0" borderId="1" xfId="4" applyFont="1" applyBorder="1" applyAlignment="1" applyProtection="1">
      <alignment vertical="top"/>
      <protection locked="0"/>
    </xf>
    <xf numFmtId="0" fontId="54" fillId="0" borderId="1" xfId="4" applyFont="1" applyBorder="1" applyAlignment="1" applyProtection="1">
      <alignment vertical="top"/>
      <protection locked="0"/>
    </xf>
    <xf numFmtId="0" fontId="54" fillId="0" borderId="0" xfId="4" applyFont="1" applyAlignment="1" applyProtection="1">
      <alignment vertical="top"/>
      <protection locked="0"/>
    </xf>
    <xf numFmtId="0" fontId="21" fillId="4" borderId="1" xfId="4" applyFont="1" applyFill="1" applyBorder="1" applyAlignment="1" applyProtection="1">
      <alignment horizontal="center" vertical="top" wrapText="1"/>
      <protection hidden="1"/>
    </xf>
    <xf numFmtId="0" fontId="21" fillId="3" borderId="1" xfId="4" applyFont="1" applyFill="1" applyBorder="1" applyAlignment="1" applyProtection="1">
      <alignment horizontal="center" vertical="top" wrapText="1"/>
      <protection hidden="1"/>
    </xf>
    <xf numFmtId="0" fontId="22" fillId="3" borderId="1" xfId="0" applyFont="1" applyFill="1" applyBorder="1" applyAlignment="1">
      <alignment horizontal="center" vertical="top" wrapText="1"/>
    </xf>
    <xf numFmtId="0" fontId="22" fillId="3" borderId="1" xfId="50" applyFont="1" applyFill="1" applyBorder="1" applyAlignment="1">
      <alignment horizontal="center" vertical="top" wrapText="1"/>
    </xf>
    <xf numFmtId="166" fontId="22" fillId="0" borderId="1" xfId="4" applyNumberFormat="1" applyFont="1" applyBorder="1" applyAlignment="1" applyProtection="1">
      <alignment horizontal="center" vertical="top"/>
      <protection locked="0"/>
    </xf>
    <xf numFmtId="49" fontId="21" fillId="5" borderId="1" xfId="4" applyNumberFormat="1" applyFont="1" applyFill="1" applyBorder="1" applyAlignment="1" applyProtection="1">
      <alignment horizontal="center" vertical="top" wrapText="1"/>
      <protection hidden="1"/>
    </xf>
    <xf numFmtId="166" fontId="21" fillId="5" borderId="1" xfId="4" applyNumberFormat="1" applyFont="1" applyFill="1" applyBorder="1" applyAlignment="1" applyProtection="1">
      <alignment horizontal="center" vertical="top" wrapText="1"/>
      <protection hidden="1"/>
    </xf>
    <xf numFmtId="0" fontId="21" fillId="5" borderId="1" xfId="4" applyFont="1" applyFill="1" applyBorder="1" applyAlignment="1">
      <alignment horizontal="left" vertical="top" wrapText="1"/>
    </xf>
    <xf numFmtId="0" fontId="21" fillId="5" borderId="1" xfId="4" applyFont="1" applyFill="1" applyBorder="1" applyAlignment="1" applyProtection="1">
      <alignment horizontal="center" vertical="top" wrapText="1"/>
      <protection hidden="1"/>
    </xf>
    <xf numFmtId="0" fontId="21" fillId="3" borderId="1" xfId="50" applyFont="1" applyFill="1" applyBorder="1" applyAlignment="1">
      <alignment horizontal="center" vertical="top" wrapText="1"/>
    </xf>
    <xf numFmtId="10" fontId="22" fillId="3" borderId="1" xfId="4" applyNumberFormat="1" applyFont="1" applyFill="1" applyBorder="1" applyAlignment="1" applyProtection="1">
      <alignment horizontal="center" vertical="top" wrapText="1"/>
      <protection hidden="1"/>
    </xf>
    <xf numFmtId="0" fontId="22" fillId="41" borderId="1" xfId="67" applyNumberFormat="1" applyFont="1" applyFill="1" applyBorder="1" applyAlignment="1">
      <alignment horizontal="center" vertical="top" wrapText="1"/>
    </xf>
    <xf numFmtId="0" fontId="22" fillId="3" borderId="4" xfId="0" applyFont="1" applyFill="1" applyBorder="1" applyAlignment="1">
      <alignment horizontal="center" vertical="top" wrapText="1"/>
    </xf>
    <xf numFmtId="0" fontId="54" fillId="3" borderId="0" xfId="4" applyFont="1" applyFill="1" applyAlignment="1" applyProtection="1">
      <alignment vertical="top"/>
      <protection locked="0"/>
    </xf>
    <xf numFmtId="166" fontId="21" fillId="5" borderId="1" xfId="0" applyNumberFormat="1" applyFont="1" applyFill="1" applyBorder="1" applyAlignment="1">
      <alignment horizontal="center" vertical="top" wrapText="1"/>
    </xf>
    <xf numFmtId="0" fontId="22" fillId="3" borderId="2" xfId="4" applyFont="1" applyFill="1" applyBorder="1" applyAlignment="1" applyProtection="1">
      <alignment horizontal="center" vertical="top" wrapText="1"/>
      <protection hidden="1"/>
    </xf>
    <xf numFmtId="0" fontId="42" fillId="3" borderId="1" xfId="0" applyFont="1" applyFill="1" applyBorder="1" applyAlignment="1">
      <alignment vertical="top" wrapText="1"/>
    </xf>
    <xf numFmtId="0" fontId="42" fillId="3" borderId="1" xfId="0" applyFont="1" applyFill="1" applyBorder="1" applyAlignment="1">
      <alignment horizontal="center" vertical="top" wrapText="1"/>
    </xf>
    <xf numFmtId="0" fontId="62" fillId="3" borderId="1" xfId="0" applyFont="1" applyFill="1" applyBorder="1" applyAlignment="1">
      <alignment horizontal="center" vertical="top"/>
    </xf>
    <xf numFmtId="166" fontId="61" fillId="3" borderId="1" xfId="1" applyNumberFormat="1" applyFont="1" applyFill="1" applyBorder="1" applyAlignment="1">
      <alignment horizontal="center" vertical="top"/>
    </xf>
    <xf numFmtId="10" fontId="22" fillId="3" borderId="1" xfId="0" applyNumberFormat="1" applyFont="1" applyFill="1" applyBorder="1" applyAlignment="1">
      <alignment horizontal="center" vertical="top" wrapText="1"/>
    </xf>
    <xf numFmtId="49" fontId="22" fillId="5" borderId="1" xfId="4" applyNumberFormat="1" applyFont="1" applyFill="1" applyBorder="1" applyAlignment="1" applyProtection="1">
      <alignment horizontal="center" vertical="top" wrapText="1"/>
      <protection hidden="1"/>
    </xf>
    <xf numFmtId="0" fontId="2" fillId="0" borderId="1" xfId="0" applyFont="1" applyBorder="1" applyAlignment="1">
      <alignment vertical="top" wrapText="1"/>
    </xf>
    <xf numFmtId="0" fontId="2" fillId="0" borderId="1" xfId="0" applyFont="1" applyBorder="1" applyAlignment="1">
      <alignment horizontal="center" vertical="top" wrapText="1"/>
    </xf>
    <xf numFmtId="166" fontId="22" fillId="0" borderId="0" xfId="4" applyNumberFormat="1" applyFont="1" applyFill="1" applyBorder="1" applyAlignment="1" applyProtection="1">
      <alignment horizontal="center" vertical="top" wrapText="1"/>
      <protection hidden="1"/>
    </xf>
    <xf numFmtId="0" fontId="2" fillId="0" borderId="0" xfId="4" applyFont="1" applyFill="1" applyBorder="1" applyAlignment="1">
      <alignment vertical="top"/>
    </xf>
    <xf numFmtId="49" fontId="54" fillId="0" borderId="0" xfId="4" applyNumberFormat="1" applyFont="1" applyAlignment="1" applyProtection="1">
      <alignment horizontal="center" vertical="top"/>
      <protection locked="0"/>
    </xf>
    <xf numFmtId="0" fontId="22" fillId="0" borderId="0" xfId="4" applyFont="1" applyBorder="1" applyAlignment="1" applyProtection="1">
      <alignment vertical="top"/>
      <protection locked="0"/>
    </xf>
    <xf numFmtId="0" fontId="21" fillId="5" borderId="0" xfId="4" applyFont="1" applyFill="1" applyAlignment="1" applyProtection="1">
      <alignment horizontal="center" vertical="top"/>
      <protection locked="0"/>
    </xf>
    <xf numFmtId="0" fontId="21" fillId="0" borderId="0" xfId="4" applyFont="1" applyAlignment="1" applyProtection="1">
      <alignment horizontal="center" vertical="top"/>
      <protection locked="0"/>
    </xf>
    <xf numFmtId="0" fontId="54" fillId="0" borderId="0" xfId="4" applyFont="1" applyAlignment="1" applyProtection="1">
      <alignment horizontal="center" vertical="top"/>
      <protection locked="0"/>
    </xf>
    <xf numFmtId="0" fontId="51" fillId="4" borderId="0" xfId="4" applyFont="1" applyFill="1" applyAlignment="1" applyProtection="1">
      <alignment vertical="top"/>
      <protection locked="0"/>
    </xf>
    <xf numFmtId="0" fontId="21" fillId="4" borderId="0" xfId="4" applyFont="1" applyFill="1" applyAlignment="1" applyProtection="1">
      <alignment vertical="top"/>
      <protection locked="0"/>
    </xf>
    <xf numFmtId="0" fontId="22" fillId="38" borderId="1" xfId="1" applyFont="1" applyFill="1" applyBorder="1" applyAlignment="1" applyProtection="1">
      <alignment vertical="top"/>
      <protection locked="0"/>
    </xf>
    <xf numFmtId="0" fontId="22" fillId="38" borderId="6" xfId="1" applyFont="1" applyFill="1" applyBorder="1" applyAlignment="1" applyProtection="1">
      <alignment vertical="top"/>
      <protection locked="0"/>
    </xf>
    <xf numFmtId="166" fontId="22" fillId="38" borderId="0" xfId="5" applyNumberFormat="1" applyFont="1" applyFill="1" applyAlignment="1" applyProtection="1">
      <alignment vertical="top"/>
      <protection locked="0"/>
    </xf>
    <xf numFmtId="0" fontId="22" fillId="38" borderId="0" xfId="4" applyFont="1" applyFill="1" applyAlignment="1" applyProtection="1">
      <alignment vertical="top"/>
      <protection locked="0"/>
    </xf>
    <xf numFmtId="0" fontId="21" fillId="38" borderId="1" xfId="1" applyFont="1" applyFill="1" applyBorder="1" applyAlignment="1" applyProtection="1">
      <alignment vertical="top"/>
      <protection locked="0"/>
    </xf>
    <xf numFmtId="0" fontId="21" fillId="38" borderId="6" xfId="1" applyFont="1" applyFill="1" applyBorder="1" applyAlignment="1" applyProtection="1">
      <alignment vertical="top"/>
      <protection locked="0"/>
    </xf>
    <xf numFmtId="0" fontId="21" fillId="44" borderId="0" xfId="4" applyFont="1" applyFill="1" applyAlignment="1" applyProtection="1">
      <alignment vertical="top"/>
      <protection locked="0"/>
    </xf>
    <xf numFmtId="0" fontId="22" fillId="44" borderId="0" xfId="4" applyFont="1" applyFill="1" applyAlignment="1" applyProtection="1">
      <alignment vertical="top"/>
      <protection locked="0"/>
    </xf>
    <xf numFmtId="0" fontId="22" fillId="44" borderId="1" xfId="1" applyFont="1" applyFill="1" applyBorder="1" applyAlignment="1" applyProtection="1">
      <alignment vertical="top"/>
      <protection locked="0"/>
    </xf>
    <xf numFmtId="166" fontId="22" fillId="44" borderId="0" xfId="5" applyNumberFormat="1" applyFont="1" applyFill="1" applyAlignment="1" applyProtection="1">
      <alignment vertical="top"/>
      <protection locked="0"/>
    </xf>
    <xf numFmtId="0" fontId="22" fillId="44" borderId="1" xfId="4" applyFont="1" applyFill="1" applyBorder="1" applyAlignment="1" applyProtection="1">
      <alignment horizontal="center" vertical="top"/>
      <protection locked="0"/>
    </xf>
    <xf numFmtId="0" fontId="22" fillId="44" borderId="0" xfId="1" applyFont="1" applyFill="1" applyAlignment="1" applyProtection="1">
      <alignment vertical="top" wrapText="1"/>
      <protection locked="0"/>
    </xf>
    <xf numFmtId="0" fontId="22" fillId="44" borderId="1" xfId="1" applyFont="1" applyFill="1" applyBorder="1" applyAlignment="1" applyProtection="1">
      <alignment horizontal="center" vertical="top" wrapText="1"/>
      <protection hidden="1"/>
    </xf>
    <xf numFmtId="0" fontId="22" fillId="44" borderId="1" xfId="4" applyFont="1" applyFill="1" applyBorder="1" applyAlignment="1" applyProtection="1">
      <alignment horizontal="left" vertical="top" wrapText="1"/>
      <protection locked="0"/>
    </xf>
    <xf numFmtId="0" fontId="21" fillId="44" borderId="1" xfId="1" applyFont="1" applyFill="1" applyBorder="1" applyAlignment="1" applyProtection="1">
      <alignment vertical="top"/>
      <protection locked="0"/>
    </xf>
    <xf numFmtId="0" fontId="36" fillId="3" borderId="2" xfId="1" applyFont="1" applyFill="1" applyBorder="1" applyAlignment="1" applyProtection="1">
      <alignment horizontal="center" vertical="center" wrapText="1"/>
      <protection hidden="1"/>
    </xf>
    <xf numFmtId="0" fontId="23" fillId="3" borderId="1" xfId="1" applyFont="1" applyFill="1" applyBorder="1" applyAlignment="1" applyProtection="1">
      <alignment horizontal="center" vertical="center" wrapText="1"/>
      <protection hidden="1"/>
    </xf>
    <xf numFmtId="166" fontId="22" fillId="3" borderId="1" xfId="56" applyNumberFormat="1" applyFont="1" applyFill="1" applyBorder="1" applyAlignment="1">
      <alignment horizontal="center" vertical="center" wrapText="1"/>
    </xf>
    <xf numFmtId="1" fontId="22" fillId="3" borderId="1" xfId="56" applyNumberFormat="1" applyFont="1" applyFill="1" applyBorder="1" applyAlignment="1">
      <alignment horizontal="center" vertical="center" wrapText="1"/>
    </xf>
    <xf numFmtId="0" fontId="36" fillId="3" borderId="1" xfId="1" applyFont="1" applyFill="1" applyBorder="1" applyAlignment="1" applyProtection="1">
      <alignment horizontal="center" vertical="center" wrapText="1"/>
      <protection hidden="1"/>
    </xf>
    <xf numFmtId="1" fontId="36" fillId="3" borderId="1" xfId="56" applyNumberFormat="1" applyFont="1" applyFill="1" applyBorder="1" applyAlignment="1">
      <alignment horizontal="center" vertical="center" wrapText="1"/>
    </xf>
    <xf numFmtId="164" fontId="59" fillId="3" borderId="1" xfId="0" applyNumberFormat="1" applyFont="1" applyFill="1" applyBorder="1" applyAlignment="1">
      <alignment horizontal="center" vertical="center" wrapText="1"/>
    </xf>
    <xf numFmtId="0" fontId="21" fillId="3" borderId="1" xfId="1" applyFont="1" applyFill="1" applyBorder="1" applyAlignment="1">
      <alignment horizontal="center" vertical="center"/>
    </xf>
    <xf numFmtId="0" fontId="21" fillId="3" borderId="1" xfId="1" applyFont="1" applyFill="1" applyBorder="1" applyAlignment="1">
      <alignment horizontal="center" vertical="center" wrapText="1"/>
    </xf>
    <xf numFmtId="166" fontId="22" fillId="0" borderId="1" xfId="56" applyNumberFormat="1" applyFont="1" applyFill="1" applyBorder="1" applyAlignment="1" applyProtection="1">
      <alignment horizontal="center" vertical="center" wrapText="1"/>
      <protection locked="0"/>
    </xf>
    <xf numFmtId="0" fontId="45" fillId="36" borderId="0" xfId="49" applyFont="1" applyAlignment="1">
      <alignment horizontal="right" vertical="center"/>
    </xf>
    <xf numFmtId="10" fontId="21" fillId="3" borderId="1" xfId="56" applyNumberFormat="1" applyFont="1" applyFill="1" applyBorder="1" applyAlignment="1">
      <alignment horizontal="center" vertical="center" wrapText="1"/>
    </xf>
    <xf numFmtId="2" fontId="22" fillId="3" borderId="1" xfId="53" applyNumberFormat="1" applyFont="1" applyFill="1" applyBorder="1" applyAlignment="1">
      <alignment horizontal="center" vertical="center" wrapText="1"/>
    </xf>
    <xf numFmtId="2" fontId="49" fillId="37" borderId="1" xfId="53" applyNumberFormat="1" applyFont="1" applyFill="1" applyBorder="1" applyAlignment="1">
      <alignment horizontal="center" vertical="center" wrapText="1"/>
    </xf>
    <xf numFmtId="10" fontId="49" fillId="37" borderId="1" xfId="56" applyNumberFormat="1" applyFont="1" applyFill="1" applyBorder="1" applyAlignment="1">
      <alignment horizontal="center" vertical="center" wrapText="1"/>
    </xf>
    <xf numFmtId="10" fontId="9" fillId="0" borderId="0" xfId="51" applyNumberFormat="1" applyFill="1"/>
    <xf numFmtId="10" fontId="9" fillId="40" borderId="0" xfId="51" applyNumberFormat="1" applyFill="1"/>
    <xf numFmtId="0" fontId="48" fillId="3" borderId="1" xfId="53" applyFont="1" applyFill="1" applyBorder="1" applyAlignment="1">
      <alignment horizontal="center" vertical="center" wrapText="1"/>
    </xf>
    <xf numFmtId="0" fontId="21" fillId="3" borderId="1" xfId="53" applyFont="1" applyFill="1" applyBorder="1" applyAlignment="1">
      <alignment horizontal="center" vertical="center" wrapText="1"/>
    </xf>
    <xf numFmtId="1" fontId="9" fillId="0" borderId="0" xfId="51" applyNumberFormat="1"/>
    <xf numFmtId="0" fontId="22" fillId="3" borderId="1" xfId="0" applyFont="1" applyFill="1" applyBorder="1" applyAlignment="1">
      <alignment vertical="top" wrapText="1"/>
    </xf>
    <xf numFmtId="0" fontId="21" fillId="3" borderId="5" xfId="4" applyFont="1" applyFill="1" applyBorder="1" applyAlignment="1" applyProtection="1">
      <alignment horizontal="center" vertical="top" wrapText="1"/>
      <protection hidden="1"/>
    </xf>
    <xf numFmtId="2" fontId="23" fillId="0" borderId="1" xfId="53" applyNumberFormat="1" applyFont="1" applyFill="1" applyBorder="1" applyAlignment="1">
      <alignment horizontal="center" vertical="center" wrapText="1"/>
    </xf>
    <xf numFmtId="0" fontId="22" fillId="3" borderId="1" xfId="0" applyFont="1" applyFill="1" applyBorder="1" applyAlignment="1">
      <alignment horizontal="center" vertical="center"/>
    </xf>
    <xf numFmtId="10" fontId="22" fillId="3" borderId="1" xfId="0" applyNumberFormat="1" applyFont="1" applyFill="1" applyBorder="1" applyAlignment="1">
      <alignment horizontal="center" vertical="center" wrapText="1"/>
    </xf>
    <xf numFmtId="10" fontId="22" fillId="3" borderId="2"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4" fontId="22" fillId="3" borderId="1" xfId="0" applyNumberFormat="1" applyFont="1" applyFill="1" applyBorder="1" applyAlignment="1">
      <alignment horizontal="center" vertical="center"/>
    </xf>
    <xf numFmtId="0" fontId="22" fillId="3" borderId="4" xfId="0" applyFont="1" applyFill="1" applyBorder="1" applyAlignment="1">
      <alignment horizontal="center" vertical="center" wrapText="1"/>
    </xf>
    <xf numFmtId="0" fontId="22" fillId="3" borderId="1" xfId="0" applyFont="1" applyFill="1" applyBorder="1" applyAlignment="1">
      <alignment vertical="center" wrapText="1"/>
    </xf>
    <xf numFmtId="0" fontId="42" fillId="3" borderId="1" xfId="0" applyFont="1" applyFill="1" applyBorder="1" applyAlignment="1">
      <alignment horizontal="center" vertical="center" wrapText="1"/>
    </xf>
    <xf numFmtId="166" fontId="22" fillId="3" borderId="1" xfId="0" applyNumberFormat="1" applyFont="1" applyFill="1" applyBorder="1" applyAlignment="1">
      <alignment horizontal="center" vertical="center" wrapText="1"/>
    </xf>
    <xf numFmtId="49" fontId="22" fillId="0" borderId="1" xfId="53" applyNumberFormat="1" applyFont="1" applyFill="1" applyBorder="1" applyAlignment="1">
      <alignment horizontal="center" vertical="center" wrapText="1"/>
    </xf>
    <xf numFmtId="10" fontId="49" fillId="13" borderId="1" xfId="56" applyNumberFormat="1" applyFont="1" applyFill="1" applyBorder="1" applyAlignment="1">
      <alignment horizontal="center" vertical="center" wrapText="1"/>
    </xf>
    <xf numFmtId="0" fontId="22" fillId="3" borderId="6" xfId="0" applyFont="1" applyFill="1" applyBorder="1" applyAlignment="1">
      <alignment horizontal="center" vertical="center" wrapText="1"/>
    </xf>
    <xf numFmtId="4" fontId="22" fillId="3" borderId="1" xfId="0" applyNumberFormat="1" applyFont="1" applyFill="1" applyBorder="1" applyAlignment="1">
      <alignment horizontal="center" vertical="center" wrapText="1"/>
    </xf>
    <xf numFmtId="49" fontId="22" fillId="0" borderId="1" xfId="53" applyNumberFormat="1" applyFont="1" applyFill="1" applyBorder="1" applyAlignment="1">
      <alignment horizontal="center" vertical="center" wrapText="1"/>
    </xf>
    <xf numFmtId="0" fontId="22" fillId="3" borderId="1" xfId="50" applyFont="1" applyFill="1" applyBorder="1" applyAlignment="1">
      <alignment horizontal="center" vertical="center" wrapText="1"/>
    </xf>
    <xf numFmtId="166" fontId="22" fillId="0" borderId="0" xfId="4" applyNumberFormat="1" applyFont="1" applyAlignment="1" applyProtection="1">
      <alignment vertical="top"/>
      <protection locked="0"/>
    </xf>
    <xf numFmtId="0" fontId="22" fillId="0" borderId="1" xfId="68" applyFont="1" applyFill="1" applyBorder="1" applyAlignment="1">
      <alignment horizontal="left" vertical="center" wrapText="1"/>
    </xf>
    <xf numFmtId="0" fontId="22" fillId="3" borderId="4" xfId="50" applyFont="1" applyFill="1" applyBorder="1" applyAlignment="1">
      <alignment horizontal="center" vertical="center" wrapText="1"/>
    </xf>
    <xf numFmtId="0" fontId="66" fillId="0" borderId="1" xfId="0" applyFont="1" applyBorder="1" applyAlignment="1">
      <alignment vertical="top" wrapText="1"/>
    </xf>
    <xf numFmtId="0" fontId="22" fillId="3" borderId="1" xfId="50" applyFont="1" applyFill="1" applyBorder="1" applyAlignment="1">
      <alignment horizontal="left" vertical="center" wrapText="1"/>
    </xf>
    <xf numFmtId="0" fontId="2" fillId="0" borderId="1" xfId="0" applyFont="1" applyBorder="1" applyAlignment="1">
      <alignment horizontal="center" vertical="center"/>
    </xf>
    <xf numFmtId="0" fontId="22" fillId="0" borderId="1" xfId="0" applyFont="1" applyBorder="1" applyAlignment="1">
      <alignment horizontal="left" vertical="center" wrapText="1"/>
    </xf>
    <xf numFmtId="0" fontId="2" fillId="0" borderId="1" xfId="0" applyFont="1" applyBorder="1" applyAlignment="1">
      <alignment horizontal="left" vertical="center" wrapText="1"/>
    </xf>
    <xf numFmtId="0" fontId="22" fillId="0" borderId="1" xfId="0" applyFont="1" applyBorder="1" applyAlignment="1">
      <alignment horizontal="center" vertical="center"/>
    </xf>
    <xf numFmtId="0" fontId="38" fillId="3" borderId="1" xfId="0" applyFont="1" applyFill="1" applyBorder="1" applyAlignment="1">
      <alignment horizontal="center" vertical="top" wrapText="1"/>
    </xf>
    <xf numFmtId="0" fontId="21" fillId="3" borderId="2" xfId="4" applyFont="1" applyFill="1" applyBorder="1" applyAlignment="1" applyProtection="1">
      <alignment horizontal="center" vertical="top" wrapText="1"/>
      <protection hidden="1"/>
    </xf>
    <xf numFmtId="0" fontId="54" fillId="3" borderId="1" xfId="4" applyFont="1" applyFill="1" applyBorder="1" applyAlignment="1" applyProtection="1">
      <alignment horizontal="center" vertical="top"/>
      <protection locked="0"/>
    </xf>
    <xf numFmtId="0" fontId="22" fillId="3" borderId="5" xfId="0" applyFont="1" applyFill="1" applyBorder="1" applyAlignment="1">
      <alignment vertical="top"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35" fillId="0" borderId="1" xfId="0" applyFont="1" applyBorder="1" applyAlignment="1">
      <alignment horizontal="center" vertical="center" wrapText="1"/>
    </xf>
    <xf numFmtId="0" fontId="22" fillId="3" borderId="4" xfId="0" applyFont="1" applyFill="1" applyBorder="1" applyAlignment="1">
      <alignment horizontal="left" vertical="top" wrapText="1"/>
    </xf>
    <xf numFmtId="0" fontId="22" fillId="3" borderId="23" xfId="0"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vertical="center" wrapText="1"/>
    </xf>
    <xf numFmtId="0" fontId="2" fillId="5" borderId="1" xfId="0" applyFont="1" applyFill="1" applyBorder="1" applyAlignment="1">
      <alignment horizontal="center" vertical="center" wrapText="1"/>
    </xf>
    <xf numFmtId="0" fontId="2" fillId="3" borderId="1" xfId="0" applyFont="1" applyFill="1" applyBorder="1" applyAlignment="1">
      <alignment vertical="center" wrapText="1"/>
    </xf>
    <xf numFmtId="0" fontId="62" fillId="3" borderId="1" xfId="0" applyFont="1" applyFill="1" applyBorder="1" applyAlignment="1">
      <alignment horizontal="center" vertical="center"/>
    </xf>
    <xf numFmtId="49" fontId="21" fillId="5" borderId="5" xfId="4" applyNumberFormat="1" applyFont="1" applyFill="1" applyBorder="1" applyAlignment="1" applyProtection="1">
      <alignment horizontal="center" vertical="top" wrapText="1"/>
      <protection hidden="1"/>
    </xf>
    <xf numFmtId="166" fontId="21" fillId="5" borderId="5" xfId="4" applyNumberFormat="1" applyFont="1" applyFill="1" applyBorder="1" applyAlignment="1" applyProtection="1">
      <alignment horizontal="center" vertical="top" wrapText="1"/>
      <protection hidden="1"/>
    </xf>
    <xf numFmtId="0" fontId="21" fillId="5" borderId="5" xfId="4" applyFont="1" applyFill="1" applyBorder="1" applyAlignment="1">
      <alignment horizontal="left" vertical="top" wrapText="1"/>
    </xf>
    <xf numFmtId="0" fontId="21" fillId="5" borderId="5" xfId="4" applyFont="1" applyFill="1" applyBorder="1" applyAlignment="1" applyProtection="1">
      <alignment horizontal="center" vertical="top" wrapText="1"/>
      <protection hidden="1"/>
    </xf>
    <xf numFmtId="0" fontId="54" fillId="0" borderId="1" xfId="4" applyFont="1" applyBorder="1" applyAlignment="1" applyProtection="1">
      <alignment horizontal="center" vertical="top"/>
      <protection locked="0"/>
    </xf>
    <xf numFmtId="0" fontId="21" fillId="44" borderId="1" xfId="4" applyFont="1" applyFill="1" applyBorder="1" applyAlignment="1" applyProtection="1">
      <alignment horizontal="center" vertical="top"/>
      <protection locked="0"/>
    </xf>
    <xf numFmtId="0" fontId="52" fillId="44" borderId="1" xfId="1" applyFont="1" applyFill="1" applyBorder="1" applyAlignment="1" applyProtection="1">
      <alignment horizontal="center" vertical="top" wrapText="1"/>
      <protection hidden="1"/>
    </xf>
    <xf numFmtId="166" fontId="22" fillId="44" borderId="1" xfId="1" applyNumberFormat="1" applyFont="1" applyFill="1" applyBorder="1" applyAlignment="1" applyProtection="1">
      <alignment vertical="top"/>
      <protection locked="0"/>
    </xf>
    <xf numFmtId="0" fontId="0" fillId="0" borderId="0" xfId="0" applyAlignment="1">
      <alignment horizontal="center" vertical="center"/>
    </xf>
    <xf numFmtId="0" fontId="0" fillId="0" borderId="0" xfId="0" applyAlignment="1">
      <alignment vertical="top"/>
    </xf>
    <xf numFmtId="0" fontId="0" fillId="0" borderId="0" xfId="0" applyAlignment="1">
      <alignment horizontal="center" vertical="top"/>
    </xf>
    <xf numFmtId="164" fontId="0" fillId="0" borderId="0" xfId="0" applyNumberFormat="1" applyAlignment="1">
      <alignment horizontal="center" vertical="top"/>
    </xf>
    <xf numFmtId="165" fontId="0" fillId="0" borderId="0" xfId="0" applyNumberFormat="1" applyAlignment="1">
      <alignment horizontal="center" vertical="top"/>
    </xf>
    <xf numFmtId="0" fontId="0" fillId="0" borderId="0" xfId="0" applyAlignment="1">
      <alignment horizontal="left" vertical="top"/>
    </xf>
    <xf numFmtId="0" fontId="6" fillId="0" borderId="0" xfId="0" applyFont="1" applyAlignment="1">
      <alignment horizontal="center" vertical="center"/>
    </xf>
    <xf numFmtId="164" fontId="6" fillId="0" borderId="0" xfId="0" applyNumberFormat="1" applyFont="1" applyAlignment="1">
      <alignment horizontal="center" vertical="top"/>
    </xf>
    <xf numFmtId="164" fontId="8" fillId="0" borderId="1" xfId="0" applyNumberFormat="1" applyFont="1" applyBorder="1" applyAlignment="1">
      <alignment horizontal="center" vertical="center" wrapText="1"/>
    </xf>
    <xf numFmtId="0" fontId="40" fillId="46" borderId="1" xfId="51" applyFont="1" applyFill="1" applyBorder="1" applyAlignment="1">
      <alignment horizontal="center" vertical="center" wrapText="1"/>
    </xf>
    <xf numFmtId="164" fontId="40" fillId="46" borderId="1" xfId="51" applyNumberFormat="1" applyFont="1" applyFill="1" applyBorder="1" applyAlignment="1">
      <alignment horizontal="right" vertical="center" wrapText="1"/>
    </xf>
    <xf numFmtId="166" fontId="40" fillId="46" borderId="1" xfId="56" applyNumberFormat="1" applyFont="1" applyFill="1" applyBorder="1" applyAlignment="1">
      <alignment horizontal="center" vertical="center" wrapText="1"/>
    </xf>
    <xf numFmtId="0" fontId="39" fillId="46" borderId="1" xfId="51" applyFont="1" applyFill="1" applyBorder="1" applyAlignment="1">
      <alignment horizontal="center" vertical="center" wrapText="1"/>
    </xf>
    <xf numFmtId="164" fontId="39" fillId="46" borderId="1" xfId="51" applyNumberFormat="1" applyFont="1" applyFill="1" applyBorder="1" applyAlignment="1">
      <alignment horizontal="right" vertical="center" wrapText="1"/>
    </xf>
    <xf numFmtId="166" fontId="39" fillId="46" borderId="1" xfId="56" applyNumberFormat="1" applyFont="1" applyFill="1" applyBorder="1" applyAlignment="1">
      <alignment horizontal="center" vertical="center" wrapText="1"/>
    </xf>
    <xf numFmtId="0" fontId="0" fillId="0" borderId="0" xfId="0" applyAlignment="1">
      <alignment horizontal="left" vertical="center"/>
    </xf>
    <xf numFmtId="166" fontId="39" fillId="0" borderId="0" xfId="51" applyNumberFormat="1" applyFont="1" applyAlignment="1">
      <alignment vertical="center"/>
    </xf>
    <xf numFmtId="0" fontId="21" fillId="46" borderId="1" xfId="1" applyFont="1" applyFill="1" applyBorder="1" applyAlignment="1" applyProtection="1">
      <alignment horizontal="left" vertical="center" wrapText="1"/>
      <protection hidden="1"/>
    </xf>
    <xf numFmtId="0" fontId="2" fillId="3" borderId="1" xfId="0" applyFont="1" applyFill="1" applyBorder="1" applyAlignment="1">
      <alignment horizontal="center"/>
    </xf>
    <xf numFmtId="164" fontId="2" fillId="3" borderId="1" xfId="0" applyNumberFormat="1" applyFont="1" applyFill="1" applyBorder="1" applyAlignment="1">
      <alignment horizontal="center" vertical="top"/>
    </xf>
    <xf numFmtId="166" fontId="2" fillId="3" borderId="1" xfId="0" applyNumberFormat="1" applyFont="1" applyFill="1" applyBorder="1" applyAlignment="1">
      <alignment horizontal="center" vertical="top"/>
    </xf>
    <xf numFmtId="164" fontId="22" fillId="3" borderId="1" xfId="1" applyNumberFormat="1" applyFont="1" applyFill="1" applyBorder="1" applyAlignment="1">
      <alignment horizontal="center" wrapText="1"/>
    </xf>
    <xf numFmtId="166" fontId="64" fillId="3" borderId="2" xfId="51" applyNumberFormat="1" applyFont="1" applyFill="1" applyBorder="1" applyAlignment="1">
      <alignment horizontal="center"/>
    </xf>
    <xf numFmtId="0" fontId="22" fillId="3" borderId="1" xfId="0" applyFont="1" applyFill="1" applyBorder="1" applyAlignment="1">
      <alignment horizontal="center"/>
    </xf>
    <xf numFmtId="164" fontId="22" fillId="3" borderId="1" xfId="0" applyNumberFormat="1" applyFont="1" applyFill="1" applyBorder="1" applyAlignment="1">
      <alignment horizontal="center" wrapText="1"/>
    </xf>
    <xf numFmtId="4" fontId="21" fillId="3" borderId="1" xfId="0" applyNumberFormat="1" applyFont="1" applyFill="1" applyBorder="1" applyAlignment="1">
      <alignment horizontal="center" vertical="center"/>
    </xf>
    <xf numFmtId="4" fontId="22" fillId="3" borderId="1" xfId="63" applyNumberFormat="1" applyFont="1" applyFill="1" applyBorder="1" applyAlignment="1">
      <alignment horizontal="center" vertical="center" wrapText="1"/>
    </xf>
    <xf numFmtId="164" fontId="22" fillId="3" borderId="1" xfId="0" applyNumberFormat="1" applyFont="1" applyFill="1" applyBorder="1" applyAlignment="1">
      <alignment horizontal="center" vertical="top"/>
    </xf>
    <xf numFmtId="0" fontId="56" fillId="3" borderId="1" xfId="1" applyFont="1" applyFill="1" applyBorder="1" applyAlignment="1" applyProtection="1">
      <alignment horizontal="center" vertical="center" wrapText="1"/>
      <protection hidden="1"/>
    </xf>
    <xf numFmtId="0" fontId="22" fillId="3" borderId="26" xfId="0" applyFont="1" applyFill="1" applyBorder="1" applyAlignment="1">
      <alignment horizontal="center" vertical="center" wrapText="1"/>
    </xf>
    <xf numFmtId="167" fontId="22" fillId="3" borderId="1" xfId="0" applyNumberFormat="1" applyFont="1" applyFill="1" applyBorder="1" applyAlignment="1">
      <alignment horizontal="center" vertical="center" wrapText="1"/>
    </xf>
    <xf numFmtId="0" fontId="22" fillId="3" borderId="5" xfId="0" applyFont="1" applyFill="1" applyBorder="1" applyAlignment="1">
      <alignment vertical="center" wrapText="1"/>
    </xf>
    <xf numFmtId="0" fontId="51" fillId="3" borderId="1" xfId="4" applyFont="1" applyFill="1" applyBorder="1" applyAlignment="1" applyProtection="1">
      <alignment vertical="top"/>
      <protection locked="0"/>
    </xf>
    <xf numFmtId="164" fontId="39" fillId="0" borderId="1" xfId="51" applyNumberFormat="1" applyFont="1" applyFill="1" applyBorder="1" applyAlignment="1">
      <alignment horizontal="right" vertical="center" wrapText="1"/>
    </xf>
    <xf numFmtId="166" fontId="39" fillId="0" borderId="1" xfId="51" applyNumberFormat="1" applyFont="1" applyFill="1" applyBorder="1" applyAlignment="1">
      <alignment horizontal="center" vertical="center" wrapText="1"/>
    </xf>
    <xf numFmtId="0" fontId="23" fillId="0" borderId="1" xfId="1" applyFont="1" applyFill="1" applyBorder="1" applyAlignment="1" applyProtection="1">
      <alignment horizontal="center" vertical="center" wrapText="1"/>
      <protection hidden="1"/>
    </xf>
    <xf numFmtId="166" fontId="22" fillId="0" borderId="1" xfId="64"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right" vertical="center" wrapText="1"/>
    </xf>
    <xf numFmtId="166" fontId="39" fillId="0" borderId="1" xfId="56" applyNumberFormat="1" applyFont="1" applyFill="1" applyBorder="1" applyAlignment="1">
      <alignment horizontal="center" vertical="center" wrapText="1"/>
    </xf>
    <xf numFmtId="164" fontId="7" fillId="0" borderId="2" xfId="0" applyNumberFormat="1" applyFont="1" applyFill="1" applyBorder="1" applyAlignment="1">
      <alignment horizontal="right" vertical="center" wrapText="1"/>
    </xf>
    <xf numFmtId="0" fontId="7" fillId="0" borderId="1" xfId="0" applyFont="1" applyFill="1" applyBorder="1" applyAlignment="1">
      <alignment horizontal="left" vertical="center" wrapText="1"/>
    </xf>
    <xf numFmtId="49" fontId="37" fillId="0" borderId="1" xfId="0" applyNumberFormat="1" applyFont="1" applyFill="1" applyBorder="1" applyAlignment="1">
      <alignment horizontal="center" vertical="top" wrapText="1"/>
    </xf>
    <xf numFmtId="164" fontId="8" fillId="0" borderId="0" xfId="0" applyNumberFormat="1" applyFont="1" applyAlignment="1">
      <alignment horizontal="right" vertical="center"/>
    </xf>
    <xf numFmtId="0" fontId="22" fillId="0" borderId="1" xfId="53" applyFont="1" applyFill="1" applyBorder="1" applyAlignment="1">
      <alignment horizontal="left" vertical="top" wrapText="1"/>
    </xf>
    <xf numFmtId="0" fontId="22" fillId="0" borderId="1" xfId="53" applyFont="1" applyFill="1" applyBorder="1" applyAlignment="1">
      <alignment horizontal="left" vertical="center" wrapText="1"/>
    </xf>
    <xf numFmtId="166" fontId="21" fillId="0" borderId="1" xfId="56" applyNumberFormat="1" applyFont="1" applyFill="1" applyBorder="1" applyAlignment="1">
      <alignment horizontal="center" vertical="center" wrapText="1"/>
    </xf>
    <xf numFmtId="166" fontId="21" fillId="3" borderId="1" xfId="56"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70" fillId="0" borderId="1" xfId="0" applyFont="1" applyFill="1" applyBorder="1" applyAlignment="1">
      <alignment horizontal="center" vertical="center" wrapText="1"/>
    </xf>
    <xf numFmtId="0" fontId="23" fillId="0" borderId="1" xfId="1" applyNumberFormat="1" applyFont="1" applyFill="1" applyBorder="1" applyAlignment="1" applyProtection="1">
      <alignment horizontal="center" vertical="center" wrapText="1"/>
      <protection hidden="1"/>
    </xf>
    <xf numFmtId="0" fontId="22" fillId="0" borderId="1" xfId="56" applyNumberFormat="1" applyFont="1" applyFill="1" applyBorder="1" applyAlignment="1">
      <alignment horizontal="center" vertical="center" wrapText="1"/>
    </xf>
    <xf numFmtId="164" fontId="39" fillId="0" borderId="1" xfId="51" applyNumberFormat="1" applyFont="1" applyFill="1" applyBorder="1" applyAlignment="1">
      <alignment vertical="center" wrapText="1"/>
    </xf>
    <xf numFmtId="0" fontId="0" fillId="0" borderId="0" xfId="0" applyFill="1"/>
    <xf numFmtId="0" fontId="39" fillId="0" borderId="1" xfId="51" applyFont="1" applyFill="1" applyBorder="1" applyAlignment="1">
      <alignment vertical="center" wrapText="1"/>
    </xf>
    <xf numFmtId="164" fontId="8" fillId="0" borderId="1" xfId="0" applyNumberFormat="1" applyFont="1" applyFill="1" applyBorder="1" applyAlignment="1">
      <alignment horizontal="right" vertical="center" wrapText="1"/>
    </xf>
    <xf numFmtId="164" fontId="7"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164" fontId="7" fillId="0" borderId="1" xfId="60" applyFont="1" applyFill="1" applyBorder="1" applyAlignment="1">
      <alignment vertical="center" wrapText="1"/>
    </xf>
    <xf numFmtId="4" fontId="7" fillId="0" borderId="1" xfId="0" applyNumberFormat="1" applyFont="1" applyFill="1" applyBorder="1" applyAlignment="1">
      <alignment vertical="center"/>
    </xf>
    <xf numFmtId="0" fontId="22" fillId="3" borderId="2" xfId="0" applyFont="1" applyFill="1" applyBorder="1" applyAlignment="1">
      <alignment horizontal="center" vertical="top" wrapText="1"/>
    </xf>
    <xf numFmtId="0" fontId="22" fillId="3" borderId="5"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22" fillId="3" borderId="1" xfId="0" applyFont="1" applyFill="1" applyBorder="1" applyAlignment="1">
      <alignment horizontal="left" vertical="top" wrapText="1"/>
    </xf>
    <xf numFmtId="0" fontId="34" fillId="3" borderId="2"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22" fillId="3" borderId="2" xfId="0" applyFont="1" applyFill="1" applyBorder="1" applyAlignment="1">
      <alignment horizontal="left" vertical="top" wrapText="1"/>
    </xf>
    <xf numFmtId="0" fontId="22" fillId="3" borderId="5" xfId="0" applyFont="1" applyFill="1" applyBorder="1" applyAlignment="1">
      <alignment horizontal="left" vertical="top" wrapText="1"/>
    </xf>
    <xf numFmtId="0" fontId="22" fillId="3" borderId="5" xfId="0" applyFont="1" applyFill="1" applyBorder="1" applyAlignment="1">
      <alignment horizontal="left" vertical="center" wrapText="1"/>
    </xf>
    <xf numFmtId="0" fontId="22" fillId="3" borderId="1" xfId="0" applyFont="1" applyFill="1" applyBorder="1" applyAlignment="1">
      <alignment horizontal="left" vertical="center" wrapText="1"/>
    </xf>
    <xf numFmtId="0" fontId="55" fillId="3" borderId="1" xfId="1" applyFont="1" applyFill="1" applyBorder="1" applyAlignment="1" applyProtection="1">
      <alignment horizontal="center" vertical="center" wrapText="1"/>
      <protection hidden="1"/>
    </xf>
    <xf numFmtId="4" fontId="22" fillId="0" borderId="1" xfId="0" applyNumberFormat="1" applyFont="1" applyBorder="1" applyAlignment="1">
      <alignment horizontal="center" vertical="center" wrapText="1"/>
    </xf>
    <xf numFmtId="166" fontId="22" fillId="3" borderId="1" xfId="50" applyNumberFormat="1" applyFont="1" applyFill="1" applyBorder="1" applyAlignment="1">
      <alignment horizontal="center" vertical="center"/>
    </xf>
    <xf numFmtId="0" fontId="22" fillId="0" borderId="1" xfId="50" applyFont="1" applyBorder="1" applyAlignment="1">
      <alignment horizontal="center" vertical="center" wrapText="1"/>
    </xf>
    <xf numFmtId="0" fontId="22" fillId="0" borderId="1" xfId="50" applyFont="1" applyBorder="1" applyAlignment="1">
      <alignment horizontal="center" vertical="top" wrapText="1"/>
    </xf>
    <xf numFmtId="4" fontId="22" fillId="0" borderId="4" xfId="50" applyNumberFormat="1" applyFont="1" applyBorder="1" applyAlignment="1">
      <alignment horizontal="center" vertical="center" wrapText="1"/>
    </xf>
    <xf numFmtId="4" fontId="22" fillId="3" borderId="7" xfId="50" applyNumberFormat="1" applyFont="1" applyFill="1" applyBorder="1" applyAlignment="1">
      <alignment horizontal="center" vertical="center" wrapText="1"/>
    </xf>
    <xf numFmtId="4" fontId="22" fillId="0" borderId="1" xfId="50" applyNumberFormat="1" applyFont="1" applyBorder="1" applyAlignment="1">
      <alignment horizontal="center" vertical="center" wrapText="1"/>
    </xf>
    <xf numFmtId="166" fontId="22" fillId="0" borderId="1" xfId="58" applyNumberFormat="1" applyFont="1" applyFill="1" applyBorder="1" applyAlignment="1">
      <alignment horizontal="center" vertical="center"/>
    </xf>
    <xf numFmtId="4" fontId="22" fillId="3" borderId="1" xfId="50" applyNumberFormat="1" applyFont="1" applyFill="1" applyBorder="1" applyAlignment="1">
      <alignment horizontal="center" vertical="center" wrapText="1"/>
    </xf>
    <xf numFmtId="166" fontId="22" fillId="3" borderId="1" xfId="58" applyNumberFormat="1" applyFont="1" applyFill="1" applyBorder="1" applyAlignment="1">
      <alignment horizontal="center" vertical="center"/>
    </xf>
    <xf numFmtId="49" fontId="22" fillId="46" borderId="1" xfId="4" applyNumberFormat="1" applyFont="1" applyFill="1" applyBorder="1" applyAlignment="1" applyProtection="1">
      <alignment horizontal="center" vertical="top" wrapText="1"/>
      <protection hidden="1"/>
    </xf>
    <xf numFmtId="0" fontId="22" fillId="0" borderId="2" xfId="0" applyFont="1" applyBorder="1" applyAlignment="1">
      <alignment horizontal="left" vertical="center" wrapText="1"/>
    </xf>
    <xf numFmtId="0" fontId="22" fillId="0" borderId="2" xfId="50" applyFont="1" applyBorder="1" applyAlignment="1">
      <alignment horizontal="center" vertical="center" wrapText="1"/>
    </xf>
    <xf numFmtId="0" fontId="21" fillId="3" borderId="1" xfId="50" applyFont="1" applyFill="1" applyBorder="1" applyAlignment="1">
      <alignment horizontal="center" vertical="center" wrapText="1"/>
    </xf>
    <xf numFmtId="4" fontId="22" fillId="3" borderId="4" xfId="50" applyNumberFormat="1" applyFont="1" applyFill="1" applyBorder="1" applyAlignment="1">
      <alignment horizontal="center" vertical="center" wrapText="1"/>
    </xf>
    <xf numFmtId="49" fontId="22" fillId="46" borderId="1" xfId="4" applyNumberFormat="1" applyFont="1" applyFill="1" applyBorder="1" applyAlignment="1" applyProtection="1">
      <alignment horizontal="center" vertical="center" wrapText="1"/>
      <protection hidden="1"/>
    </xf>
    <xf numFmtId="0" fontId="22" fillId="0" borderId="2" xfId="0" applyFont="1" applyBorder="1" applyAlignment="1">
      <alignment horizontal="center" vertical="center" wrapText="1"/>
    </xf>
    <xf numFmtId="0" fontId="22" fillId="0" borderId="4" xfId="50" applyFont="1" applyBorder="1" applyAlignment="1">
      <alignment horizontal="center" vertical="center" wrapText="1"/>
    </xf>
    <xf numFmtId="164" fontId="22" fillId="3" borderId="1" xfId="50" applyNumberFormat="1" applyFont="1" applyFill="1" applyBorder="1" applyAlignment="1">
      <alignment horizontal="center" vertical="center" wrapText="1"/>
    </xf>
    <xf numFmtId="164" fontId="22" fillId="0" borderId="1" xfId="50" applyNumberFormat="1" applyFont="1" applyBorder="1" applyAlignment="1">
      <alignment horizontal="center" vertical="center" wrapText="1"/>
    </xf>
    <xf numFmtId="0" fontId="56" fillId="0" borderId="1" xfId="1" applyFont="1" applyBorder="1" applyAlignment="1" applyProtection="1">
      <alignment horizontal="center" vertical="center" wrapText="1"/>
      <protection hidden="1"/>
    </xf>
    <xf numFmtId="166" fontId="22" fillId="41" borderId="1" xfId="67" applyNumberFormat="1" applyFont="1" applyFill="1" applyBorder="1" applyAlignment="1">
      <alignment horizontal="center" vertical="center" wrapText="1"/>
    </xf>
    <xf numFmtId="0" fontId="22" fillId="0" borderId="1" xfId="74" applyFont="1" applyFill="1" applyBorder="1" applyAlignment="1">
      <alignment horizontal="center" vertical="center" wrapText="1"/>
    </xf>
    <xf numFmtId="0" fontId="22" fillId="0" borderId="1" xfId="67" applyNumberFormat="1" applyFont="1" applyFill="1" applyBorder="1" applyAlignment="1">
      <alignment horizontal="center" vertical="center" wrapText="1"/>
    </xf>
    <xf numFmtId="166" fontId="22" fillId="41" borderId="5" xfId="67" applyNumberFormat="1" applyFont="1" applyFill="1" applyBorder="1" applyAlignment="1">
      <alignment horizontal="center" vertical="center" wrapText="1"/>
    </xf>
    <xf numFmtId="167" fontId="22" fillId="0" borderId="1" xfId="0" applyNumberFormat="1" applyFont="1" applyBorder="1" applyAlignment="1">
      <alignment horizontal="center" vertical="center" wrapText="1"/>
    </xf>
    <xf numFmtId="166" fontId="22" fillId="0" borderId="1" xfId="67" applyNumberFormat="1" applyFont="1" applyFill="1" applyBorder="1" applyAlignment="1">
      <alignment horizontal="center" vertical="center" wrapText="1"/>
    </xf>
    <xf numFmtId="2" fontId="22" fillId="3" borderId="1" xfId="0" applyNumberFormat="1" applyFont="1" applyFill="1" applyBorder="1" applyAlignment="1">
      <alignment horizontal="center" vertical="center" wrapText="1"/>
    </xf>
    <xf numFmtId="0" fontId="55" fillId="0" borderId="1" xfId="1" applyFont="1" applyBorder="1" applyAlignment="1" applyProtection="1">
      <alignment horizontal="center" vertical="center" wrapText="1"/>
      <protection hidden="1"/>
    </xf>
    <xf numFmtId="0" fontId="58" fillId="0" borderId="1" xfId="0" applyFont="1" applyBorder="1" applyAlignment="1">
      <alignment horizontal="center" vertical="center" wrapText="1"/>
    </xf>
    <xf numFmtId="0" fontId="22" fillId="0" borderId="1" xfId="0" applyFont="1" applyBorder="1" applyAlignment="1" applyProtection="1">
      <alignment horizontal="center" vertical="top" wrapText="1"/>
      <protection locked="0"/>
    </xf>
    <xf numFmtId="3" fontId="22" fillId="0" borderId="1" xfId="0" applyNumberFormat="1" applyFont="1" applyBorder="1" applyAlignment="1">
      <alignment horizontal="center" vertical="center" wrapText="1"/>
    </xf>
    <xf numFmtId="1" fontId="22" fillId="0" borderId="1" xfId="0" applyNumberFormat="1" applyFont="1" applyBorder="1" applyAlignment="1">
      <alignment horizontal="center" vertical="center" wrapText="1"/>
    </xf>
    <xf numFmtId="0" fontId="22" fillId="0" borderId="4" xfId="0" applyFont="1" applyBorder="1" applyAlignment="1">
      <alignment horizontal="center" vertical="center" wrapText="1"/>
    </xf>
    <xf numFmtId="166" fontId="22" fillId="0" borderId="1" xfId="0" applyNumberFormat="1" applyFont="1" applyBorder="1" applyAlignment="1">
      <alignment horizontal="center" vertical="center" wrapText="1"/>
    </xf>
    <xf numFmtId="167" fontId="22" fillId="0" borderId="4" xfId="0" applyNumberFormat="1" applyFont="1" applyBorder="1" applyAlignment="1">
      <alignment horizontal="center" vertical="center" wrapText="1"/>
    </xf>
    <xf numFmtId="166" fontId="22" fillId="0" borderId="4" xfId="0" applyNumberFormat="1" applyFont="1" applyBorder="1" applyAlignment="1">
      <alignment horizontal="center" vertical="center" wrapText="1"/>
    </xf>
    <xf numFmtId="0" fontId="21" fillId="0" borderId="1" xfId="0" applyFont="1" applyBorder="1" applyAlignment="1">
      <alignment horizontal="center" vertical="center" wrapText="1"/>
    </xf>
    <xf numFmtId="2" fontId="22" fillId="0" borderId="1" xfId="0" applyNumberFormat="1" applyFont="1" applyBorder="1" applyAlignment="1">
      <alignment horizontal="center" vertical="center" wrapText="1"/>
    </xf>
    <xf numFmtId="166" fontId="22" fillId="0" borderId="1" xfId="4" applyNumberFormat="1" applyFont="1" applyBorder="1" applyAlignment="1" applyProtection="1">
      <alignment horizontal="center" vertical="center" wrapText="1"/>
      <protection hidden="1"/>
    </xf>
    <xf numFmtId="0" fontId="22" fillId="0" borderId="1" xfId="4" applyFont="1" applyBorder="1" applyAlignment="1" applyProtection="1">
      <alignment horizontal="center" vertical="top" wrapText="1"/>
      <protection hidden="1"/>
    </xf>
    <xf numFmtId="0" fontId="56" fillId="0" borderId="1" xfId="1" applyFont="1" applyBorder="1" applyAlignment="1" applyProtection="1">
      <alignment horizontal="center" vertical="top" wrapText="1"/>
      <protection hidden="1"/>
    </xf>
    <xf numFmtId="0" fontId="38" fillId="0" borderId="1" xfId="0" applyFont="1" applyBorder="1" applyAlignment="1">
      <alignment horizontal="center" vertical="top" wrapText="1"/>
    </xf>
    <xf numFmtId="0" fontId="22" fillId="0" borderId="5" xfId="0" applyFont="1" applyBorder="1" applyAlignment="1">
      <alignment horizontal="left" vertical="top" wrapText="1"/>
    </xf>
    <xf numFmtId="0" fontId="22" fillId="0" borderId="26" xfId="0" applyFont="1" applyBorder="1" applyAlignment="1">
      <alignment horizontal="center" vertical="center" wrapText="1"/>
    </xf>
    <xf numFmtId="166" fontId="22" fillId="0" borderId="5" xfId="0" applyNumberFormat="1" applyFont="1" applyBorder="1" applyAlignment="1">
      <alignment horizontal="center" vertical="center" wrapText="1"/>
    </xf>
    <xf numFmtId="0" fontId="34" fillId="3" borderId="25" xfId="0" applyFont="1" applyFill="1" applyBorder="1" applyAlignment="1">
      <alignment horizontal="center" vertical="center" wrapText="1"/>
    </xf>
    <xf numFmtId="0" fontId="22" fillId="0" borderId="5" xfId="0" applyFont="1" applyBorder="1" applyAlignment="1">
      <alignment horizontal="center" vertical="top" wrapText="1"/>
    </xf>
    <xf numFmtId="166" fontId="22" fillId="3" borderId="5" xfId="0" applyNumberFormat="1" applyFont="1" applyFill="1" applyBorder="1" applyAlignment="1">
      <alignment horizontal="center" vertical="center" wrapText="1"/>
    </xf>
    <xf numFmtId="0" fontId="22" fillId="3" borderId="23" xfId="0" applyFont="1" applyFill="1" applyBorder="1" applyAlignment="1">
      <alignment horizontal="center" vertical="top" wrapText="1"/>
    </xf>
    <xf numFmtId="0" fontId="34" fillId="0" borderId="5" xfId="72" applyFont="1" applyBorder="1" applyAlignment="1">
      <alignment vertical="top" wrapText="1"/>
    </xf>
    <xf numFmtId="0" fontId="34" fillId="0" borderId="5" xfId="59" applyFont="1" applyBorder="1" applyAlignment="1">
      <alignment horizontal="center" vertical="center" wrapText="1"/>
    </xf>
    <xf numFmtId="0" fontId="22" fillId="0" borderId="2" xfId="0" applyFont="1" applyBorder="1" applyAlignment="1">
      <alignment horizontal="center" vertical="top" wrapText="1"/>
    </xf>
    <xf numFmtId="0" fontId="34" fillId="39" borderId="1" xfId="0" applyFont="1" applyFill="1" applyBorder="1" applyAlignment="1">
      <alignment horizontal="center" vertical="center" wrapText="1"/>
    </xf>
    <xf numFmtId="0" fontId="22" fillId="0" borderId="5" xfId="0" applyFont="1" applyBorder="1" applyAlignment="1">
      <alignment horizontal="center" vertical="center" wrapText="1"/>
    </xf>
    <xf numFmtId="0" fontId="34" fillId="39" borderId="5" xfId="0" applyFont="1" applyFill="1" applyBorder="1" applyAlignment="1">
      <alignment horizontal="center" vertical="center" wrapText="1"/>
    </xf>
    <xf numFmtId="0" fontId="22" fillId="0" borderId="1" xfId="59" applyFont="1" applyBorder="1" applyAlignment="1">
      <alignment horizontal="center" vertical="center" wrapText="1"/>
    </xf>
    <xf numFmtId="0" fontId="34" fillId="0" borderId="1" xfId="0" applyFont="1" applyBorder="1" applyAlignment="1">
      <alignment vertical="top" wrapText="1"/>
    </xf>
    <xf numFmtId="0" fontId="34" fillId="0" borderId="1" xfId="59" applyFont="1" applyBorder="1" applyAlignment="1">
      <alignment horizontal="center" vertical="center" wrapText="1"/>
    </xf>
    <xf numFmtId="0" fontId="34" fillId="0" borderId="1" xfId="0" applyFont="1" applyBorder="1" applyAlignment="1">
      <alignment horizontal="left" vertical="top" wrapText="1"/>
    </xf>
    <xf numFmtId="0" fontId="34" fillId="0" borderId="1" xfId="0" applyFont="1" applyBorder="1" applyAlignment="1">
      <alignment horizontal="center" vertical="center" wrapText="1"/>
    </xf>
    <xf numFmtId="0" fontId="60" fillId="3" borderId="2" xfId="0" applyFont="1" applyFill="1" applyBorder="1" applyAlignment="1">
      <alignment horizontal="center" vertical="center" wrapText="1"/>
    </xf>
    <xf numFmtId="0" fontId="34" fillId="3" borderId="1" xfId="0" applyFont="1" applyFill="1" applyBorder="1" applyAlignment="1">
      <alignment horizontal="center" vertical="center" wrapText="1"/>
    </xf>
    <xf numFmtId="0" fontId="34" fillId="3" borderId="1" xfId="0" applyFont="1" applyFill="1" applyBorder="1" applyAlignment="1">
      <alignment horizontal="left" vertical="center" wrapText="1"/>
    </xf>
    <xf numFmtId="0" fontId="60" fillId="3" borderId="1" xfId="0" applyFont="1" applyFill="1" applyBorder="1" applyAlignment="1">
      <alignment horizontal="center" vertical="center" wrapText="1"/>
    </xf>
    <xf numFmtId="0" fontId="22" fillId="0" borderId="4" xfId="0" applyFont="1" applyBorder="1" applyAlignment="1">
      <alignment horizontal="left" vertical="top" wrapText="1"/>
    </xf>
    <xf numFmtId="0" fontId="22" fillId="0" borderId="6" xfId="0" applyFont="1" applyBorder="1" applyAlignment="1">
      <alignment horizontal="center" vertical="center" wrapText="1"/>
    </xf>
    <xf numFmtId="0" fontId="22" fillId="0" borderId="23" xfId="0" applyFont="1" applyBorder="1" applyAlignment="1">
      <alignment horizontal="center" vertical="center" wrapText="1"/>
    </xf>
    <xf numFmtId="0" fontId="34" fillId="0" borderId="7" xfId="0" applyFont="1" applyBorder="1" applyAlignment="1">
      <alignment horizontal="center" vertical="center" wrapText="1"/>
    </xf>
    <xf numFmtId="0" fontId="22" fillId="0" borderId="6" xfId="0" applyFont="1" applyBorder="1" applyAlignment="1">
      <alignment horizontal="center" vertical="top" wrapText="1"/>
    </xf>
    <xf numFmtId="167" fontId="22" fillId="3" borderId="5" xfId="0" applyNumberFormat="1" applyFont="1" applyFill="1" applyBorder="1" applyAlignment="1">
      <alignment horizontal="center" vertical="center" wrapText="1"/>
    </xf>
    <xf numFmtId="0" fontId="22" fillId="0" borderId="5" xfId="0" applyFont="1" applyBorder="1" applyAlignment="1">
      <alignment vertical="center" wrapText="1"/>
    </xf>
    <xf numFmtId="0" fontId="22" fillId="0" borderId="0" xfId="0" applyFont="1" applyAlignment="1">
      <alignment vertical="center" wrapText="1"/>
    </xf>
    <xf numFmtId="0" fontId="34" fillId="0" borderId="1" xfId="0" applyFont="1" applyBorder="1" applyAlignment="1">
      <alignment horizontal="center" vertical="top" wrapText="1"/>
    </xf>
    <xf numFmtId="2" fontId="2" fillId="0" borderId="1" xfId="0" applyNumberFormat="1" applyFont="1" applyBorder="1" applyAlignment="1">
      <alignment horizontal="center" vertical="center" wrapText="1"/>
    </xf>
    <xf numFmtId="0" fontId="2" fillId="3" borderId="1" xfId="75" applyFont="1" applyFill="1" applyBorder="1" applyAlignment="1">
      <alignment horizontal="center" vertical="center"/>
    </xf>
    <xf numFmtId="0" fontId="22" fillId="0" borderId="1" xfId="75" applyFont="1" applyBorder="1" applyAlignment="1">
      <alignment horizontal="center" vertical="center" wrapText="1"/>
    </xf>
    <xf numFmtId="0" fontId="22" fillId="3" borderId="1" xfId="75" applyFont="1" applyFill="1" applyBorder="1" applyAlignment="1">
      <alignment horizontal="center" vertical="center" wrapText="1"/>
    </xf>
    <xf numFmtId="2" fontId="2" fillId="3" borderId="1" xfId="75" applyNumberFormat="1" applyFont="1" applyFill="1" applyBorder="1" applyAlignment="1">
      <alignment horizontal="center" vertical="center"/>
    </xf>
    <xf numFmtId="49" fontId="2" fillId="0" borderId="1" xfId="0" applyNumberFormat="1" applyFont="1" applyBorder="1" applyAlignment="1">
      <alignment horizontal="center" vertical="center" wrapText="1"/>
    </xf>
    <xf numFmtId="0" fontId="68" fillId="0" borderId="5" xfId="0" applyFont="1" applyBorder="1" applyAlignment="1">
      <alignment horizontal="center" vertical="center" wrapText="1"/>
    </xf>
    <xf numFmtId="2" fontId="2" fillId="3" borderId="1" xfId="0" applyNumberFormat="1" applyFont="1" applyFill="1" applyBorder="1" applyAlignment="1">
      <alignment horizontal="center" vertical="center" wrapText="1"/>
    </xf>
    <xf numFmtId="1" fontId="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166" fontId="42" fillId="3" borderId="1" xfId="0" applyNumberFormat="1" applyFont="1" applyFill="1" applyBorder="1" applyAlignment="1">
      <alignment horizontal="center" vertical="center" wrapText="1"/>
    </xf>
    <xf numFmtId="0" fontId="42" fillId="0" borderId="1" xfId="0" applyFont="1" applyBorder="1" applyAlignment="1">
      <alignment vertical="center" wrapText="1"/>
    </xf>
    <xf numFmtId="166" fontId="42" fillId="3" borderId="1" xfId="0" applyNumberFormat="1" applyFont="1" applyFill="1" applyBorder="1" applyAlignment="1">
      <alignment vertical="center" wrapText="1"/>
    </xf>
    <xf numFmtId="0" fontId="22" fillId="0" borderId="0" xfId="0" applyFont="1" applyAlignment="1">
      <alignment horizontal="left" vertical="center" wrapText="1"/>
    </xf>
    <xf numFmtId="0" fontId="62" fillId="0" borderId="1" xfId="0" applyFont="1" applyBorder="1" applyAlignment="1">
      <alignment horizontal="center" vertical="center"/>
    </xf>
    <xf numFmtId="166" fontId="2"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xf>
    <xf numFmtId="0" fontId="22" fillId="0" borderId="5" xfId="0" applyFont="1" applyBorder="1" applyAlignment="1">
      <alignment vertical="top" wrapText="1"/>
    </xf>
    <xf numFmtId="166" fontId="22" fillId="0" borderId="1" xfId="0" applyNumberFormat="1" applyFont="1" applyBorder="1" applyAlignment="1">
      <alignment horizontal="center" vertical="center"/>
    </xf>
    <xf numFmtId="0" fontId="52" fillId="0" borderId="1" xfId="1" applyFont="1" applyBorder="1" applyAlignment="1" applyProtection="1">
      <alignment horizontal="center" vertical="center" wrapText="1"/>
      <protection hidden="1"/>
    </xf>
    <xf numFmtId="166" fontId="22" fillId="0" borderId="6" xfId="0" applyNumberFormat="1" applyFont="1" applyBorder="1" applyAlignment="1">
      <alignment horizontal="center" vertical="center" wrapText="1"/>
    </xf>
    <xf numFmtId="0" fontId="2" fillId="3" borderId="5" xfId="0" applyFont="1" applyFill="1" applyBorder="1" applyAlignment="1">
      <alignment vertical="center" wrapText="1"/>
    </xf>
    <xf numFmtId="0" fontId="2" fillId="0" borderId="1" xfId="0" applyFont="1" applyBorder="1" applyAlignment="1">
      <alignment horizontal="justify" vertical="center" wrapText="1"/>
    </xf>
    <xf numFmtId="0" fontId="2" fillId="0" borderId="2" xfId="0" applyFont="1" applyBorder="1" applyAlignment="1">
      <alignment vertical="center" wrapText="1"/>
    </xf>
    <xf numFmtId="0" fontId="2" fillId="0" borderId="2" xfId="0" applyFont="1" applyBorder="1" applyAlignment="1">
      <alignment horizontal="center" vertical="center" wrapText="1"/>
    </xf>
    <xf numFmtId="0" fontId="21" fillId="0" borderId="1" xfId="4" applyFont="1" applyBorder="1" applyAlignment="1" applyProtection="1">
      <alignment horizontal="center" vertical="top" wrapText="1"/>
      <protection hidden="1"/>
    </xf>
    <xf numFmtId="0" fontId="21" fillId="3" borderId="1" xfId="4" applyFont="1" applyFill="1" applyBorder="1" applyAlignment="1" applyProtection="1">
      <alignment horizontal="center" vertical="center" wrapText="1"/>
      <protection hidden="1"/>
    </xf>
    <xf numFmtId="166" fontId="22" fillId="3" borderId="1" xfId="4" applyNumberFormat="1" applyFont="1" applyFill="1" applyBorder="1" applyAlignment="1" applyProtection="1">
      <alignment horizontal="center" vertical="center" wrapText="1"/>
      <protection hidden="1"/>
    </xf>
    <xf numFmtId="0" fontId="39" fillId="0" borderId="2" xfId="51" applyFont="1" applyFill="1" applyBorder="1" applyAlignment="1">
      <alignment vertical="center" wrapText="1"/>
    </xf>
    <xf numFmtId="0" fontId="39" fillId="0" borderId="2" xfId="51" applyFont="1" applyFill="1" applyBorder="1" applyAlignment="1">
      <alignment horizontal="center" vertical="center"/>
    </xf>
    <xf numFmtId="166" fontId="39" fillId="0" borderId="2" xfId="51" applyNumberFormat="1" applyFont="1" applyFill="1" applyBorder="1" applyAlignment="1">
      <alignment horizontal="center" vertical="center"/>
    </xf>
    <xf numFmtId="0" fontId="39" fillId="0" borderId="2" xfId="51" applyFont="1" applyFill="1" applyBorder="1" applyAlignment="1">
      <alignment horizontal="left" vertical="center" wrapText="1"/>
    </xf>
    <xf numFmtId="0" fontId="39" fillId="0" borderId="1" xfId="51" applyFont="1" applyFill="1" applyBorder="1" applyAlignment="1">
      <alignment horizontal="center" vertical="center" wrapText="1"/>
    </xf>
    <xf numFmtId="166" fontId="39" fillId="0" borderId="1" xfId="51" applyNumberFormat="1" applyFont="1" applyFill="1" applyBorder="1" applyAlignment="1">
      <alignment horizontal="center" vertical="center"/>
    </xf>
    <xf numFmtId="0" fontId="39" fillId="0" borderId="1" xfId="51" applyFont="1" applyFill="1" applyBorder="1" applyAlignment="1">
      <alignment horizontal="center" vertical="center"/>
    </xf>
    <xf numFmtId="0" fontId="7" fillId="0" borderId="2" xfId="51" applyFont="1" applyFill="1" applyBorder="1" applyAlignment="1">
      <alignment vertical="center" wrapText="1"/>
    </xf>
    <xf numFmtId="49"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6" fillId="0" borderId="0" xfId="0" applyFont="1" applyAlignment="1">
      <alignment horizontal="center" vertical="top"/>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49" fontId="22" fillId="0" borderId="1" xfId="53" applyNumberFormat="1" applyFont="1" applyFill="1" applyBorder="1" applyAlignment="1">
      <alignment horizontal="center" vertical="center" wrapText="1"/>
    </xf>
    <xf numFmtId="0" fontId="22" fillId="0" borderId="1" xfId="53" applyFont="1" applyBorder="1" applyAlignment="1">
      <alignment horizontal="center" vertical="center" wrapText="1"/>
    </xf>
    <xf numFmtId="0" fontId="22" fillId="44" borderId="0" xfId="1" applyFont="1" applyFill="1" applyAlignment="1" applyProtection="1">
      <alignment vertical="top"/>
      <protection locked="0"/>
    </xf>
    <xf numFmtId="0" fontId="22" fillId="38" borderId="0" xfId="1" applyFont="1" applyFill="1" applyAlignment="1" applyProtection="1">
      <alignment vertical="top"/>
      <protection locked="0"/>
    </xf>
    <xf numFmtId="168" fontId="53" fillId="38" borderId="0" xfId="1" applyNumberFormat="1" applyFont="1" applyFill="1" applyAlignment="1" applyProtection="1">
      <alignment horizontal="center" vertical="top" wrapText="1"/>
      <protection hidden="1"/>
    </xf>
    <xf numFmtId="0" fontId="21" fillId="0" borderId="1" xfId="1" applyNumberFormat="1" applyFont="1" applyFill="1" applyBorder="1" applyAlignment="1" applyProtection="1">
      <alignment horizontal="center" vertical="center" wrapText="1"/>
      <protection hidden="1"/>
    </xf>
    <xf numFmtId="2" fontId="49" fillId="4" borderId="1" xfId="53" applyNumberFormat="1" applyFont="1" applyFill="1" applyBorder="1" applyAlignment="1">
      <alignment horizontal="center" vertical="center" wrapText="1"/>
    </xf>
    <xf numFmtId="49" fontId="21" fillId="3" borderId="1" xfId="53" applyNumberFormat="1" applyFont="1" applyFill="1" applyBorder="1" applyAlignment="1">
      <alignment horizontal="center" vertical="center" wrapText="1"/>
    </xf>
    <xf numFmtId="0" fontId="21" fillId="3" borderId="1" xfId="1" applyFont="1" applyFill="1" applyBorder="1" applyAlignment="1" applyProtection="1">
      <alignment horizontal="left" vertical="center" wrapText="1"/>
      <protection hidden="1"/>
    </xf>
    <xf numFmtId="164" fontId="2" fillId="3" borderId="1" xfId="0" applyNumberFormat="1" applyFont="1" applyFill="1" applyBorder="1" applyAlignment="1">
      <alignment horizontal="center" vertical="center" wrapText="1"/>
    </xf>
    <xf numFmtId="0" fontId="21" fillId="0" borderId="1" xfId="1" applyFont="1" applyBorder="1" applyAlignment="1">
      <alignment horizontal="center" vertical="center" wrapText="1"/>
    </xf>
    <xf numFmtId="164" fontId="21" fillId="0" borderId="1" xfId="1" applyNumberFormat="1" applyFont="1" applyBorder="1" applyAlignment="1">
      <alignment horizontal="center" vertical="center" wrapText="1"/>
    </xf>
    <xf numFmtId="164" fontId="21" fillId="3" borderId="1" xfId="1" applyNumberFormat="1" applyFont="1" applyFill="1" applyBorder="1" applyAlignment="1">
      <alignment horizontal="center" vertical="center" wrapText="1"/>
    </xf>
    <xf numFmtId="166" fontId="22" fillId="3" borderId="1" xfId="1" applyNumberFormat="1" applyFont="1" applyFill="1" applyBorder="1" applyAlignment="1">
      <alignment horizontal="center" vertical="center" wrapText="1"/>
    </xf>
    <xf numFmtId="4" fontId="2" fillId="3" borderId="1" xfId="0" applyNumberFormat="1" applyFont="1" applyFill="1" applyBorder="1" applyAlignment="1">
      <alignment horizontal="center" wrapText="1"/>
    </xf>
    <xf numFmtId="164" fontId="64" fillId="3" borderId="1" xfId="0" applyNumberFormat="1" applyFont="1" applyFill="1" applyBorder="1" applyAlignment="1">
      <alignment horizontal="center" vertical="center" wrapText="1"/>
    </xf>
    <xf numFmtId="4" fontId="2" fillId="3" borderId="4" xfId="0" applyNumberFormat="1" applyFont="1" applyFill="1" applyBorder="1" applyAlignment="1">
      <alignment horizontal="center" vertical="center"/>
    </xf>
    <xf numFmtId="164" fontId="21" fillId="3" borderId="1" xfId="0" applyNumberFormat="1" applyFont="1" applyFill="1" applyBorder="1" applyAlignment="1">
      <alignment horizontal="center" vertical="top"/>
    </xf>
    <xf numFmtId="166" fontId="64" fillId="3" borderId="1" xfId="0" applyNumberFormat="1" applyFont="1" applyFill="1" applyBorder="1" applyAlignment="1">
      <alignment horizontal="center"/>
    </xf>
    <xf numFmtId="164" fontId="2" fillId="3" borderId="1" xfId="51" applyNumberFormat="1" applyFont="1" applyFill="1" applyBorder="1" applyAlignment="1">
      <alignment horizontal="center" wrapText="1"/>
    </xf>
    <xf numFmtId="166" fontId="2" fillId="3" borderId="1" xfId="0" applyNumberFormat="1" applyFont="1" applyFill="1" applyBorder="1" applyAlignment="1">
      <alignment horizontal="center"/>
    </xf>
    <xf numFmtId="0" fontId="64" fillId="3" borderId="1" xfId="1" applyFont="1" applyFill="1" applyBorder="1" applyAlignment="1">
      <alignment horizontal="center" vertical="center" wrapText="1"/>
    </xf>
    <xf numFmtId="166" fontId="64" fillId="3" borderId="1" xfId="51" applyNumberFormat="1" applyFont="1" applyFill="1" applyBorder="1" applyAlignment="1">
      <alignment horizontal="center"/>
    </xf>
    <xf numFmtId="164" fontId="2" fillId="3" borderId="1" xfId="1" applyNumberFormat="1" applyFont="1" applyFill="1" applyBorder="1" applyAlignment="1">
      <alignment horizontal="center" wrapText="1"/>
    </xf>
    <xf numFmtId="166" fontId="2" fillId="3" borderId="1" xfId="51" applyNumberFormat="1" applyFont="1" applyFill="1" applyBorder="1" applyAlignment="1">
      <alignment horizontal="center"/>
    </xf>
    <xf numFmtId="164" fontId="2" fillId="3" borderId="2" xfId="1" applyNumberFormat="1" applyFont="1" applyFill="1" applyBorder="1" applyAlignment="1">
      <alignment horizontal="center" wrapText="1"/>
    </xf>
    <xf numFmtId="164" fontId="64" fillId="3" borderId="2" xfId="1" applyNumberFormat="1" applyFont="1" applyFill="1" applyBorder="1" applyAlignment="1">
      <alignment horizontal="center" wrapText="1"/>
    </xf>
    <xf numFmtId="166" fontId="2" fillId="3" borderId="2" xfId="51" applyNumberFormat="1" applyFont="1" applyFill="1" applyBorder="1" applyAlignment="1">
      <alignment horizontal="center"/>
    </xf>
    <xf numFmtId="164" fontId="2" fillId="3" borderId="2" xfId="51" applyNumberFormat="1" applyFont="1" applyFill="1" applyBorder="1" applyAlignment="1">
      <alignment horizontal="center"/>
    </xf>
    <xf numFmtId="164" fontId="64" fillId="3" borderId="1" xfId="51" applyNumberFormat="1" applyFont="1" applyFill="1" applyBorder="1" applyAlignment="1">
      <alignment horizontal="center" wrapText="1"/>
    </xf>
    <xf numFmtId="166" fontId="64" fillId="3" borderId="1" xfId="51" applyNumberFormat="1" applyFont="1" applyFill="1" applyBorder="1" applyAlignment="1">
      <alignment horizontal="center" wrapText="1"/>
    </xf>
    <xf numFmtId="166" fontId="2" fillId="3" borderId="1" xfId="51" applyNumberFormat="1" applyFont="1" applyFill="1" applyBorder="1" applyAlignment="1">
      <alignment horizontal="center" wrapText="1"/>
    </xf>
    <xf numFmtId="0" fontId="46" fillId="3" borderId="2" xfId="51" applyFont="1" applyFill="1" applyBorder="1" applyAlignment="1">
      <alignment horizontal="center"/>
    </xf>
    <xf numFmtId="0" fontId="46" fillId="3" borderId="3" xfId="51" applyFont="1" applyFill="1" applyBorder="1" applyAlignment="1">
      <alignment horizontal="center"/>
    </xf>
    <xf numFmtId="4" fontId="22" fillId="3" borderId="1" xfId="0" applyNumberFormat="1" applyFont="1" applyFill="1" applyBorder="1" applyAlignment="1">
      <alignment horizontal="center" wrapText="1"/>
    </xf>
    <xf numFmtId="4" fontId="34" fillId="3" borderId="1" xfId="60" applyNumberFormat="1" applyFont="1" applyFill="1" applyBorder="1" applyAlignment="1">
      <alignment horizontal="center" wrapText="1"/>
    </xf>
    <xf numFmtId="164" fontId="64" fillId="3" borderId="1" xfId="0" applyNumberFormat="1" applyFont="1" applyFill="1" applyBorder="1" applyAlignment="1">
      <alignment vertical="center" wrapText="1"/>
    </xf>
    <xf numFmtId="164" fontId="2" fillId="3" borderId="1" xfId="0" applyNumberFormat="1" applyFont="1" applyFill="1" applyBorder="1" applyAlignment="1">
      <alignment vertical="center" wrapText="1"/>
    </xf>
    <xf numFmtId="164" fontId="62" fillId="3" borderId="1" xfId="0" applyNumberFormat="1" applyFont="1" applyFill="1" applyBorder="1" applyAlignment="1">
      <alignment horizontal="center" vertical="center"/>
    </xf>
    <xf numFmtId="166" fontId="62" fillId="3" borderId="1" xfId="56" applyNumberFormat="1" applyFont="1" applyFill="1" applyBorder="1" applyAlignment="1">
      <alignment horizontal="center" vertical="center" wrapText="1"/>
    </xf>
    <xf numFmtId="166" fontId="42" fillId="3" borderId="1" xfId="56" applyNumberFormat="1" applyFont="1" applyFill="1" applyBorder="1" applyAlignment="1">
      <alignment horizontal="center" vertical="center" wrapText="1"/>
    </xf>
    <xf numFmtId="0" fontId="21" fillId="3" borderId="1" xfId="0" applyFont="1" applyFill="1" applyBorder="1" applyAlignment="1">
      <alignment horizontal="center"/>
    </xf>
    <xf numFmtId="164" fontId="21" fillId="3" borderId="1" xfId="0" applyNumberFormat="1" applyFont="1" applyFill="1" applyBorder="1" applyAlignment="1">
      <alignment horizontal="center" vertical="center"/>
    </xf>
    <xf numFmtId="0" fontId="74" fillId="3" borderId="1" xfId="0" applyFont="1" applyFill="1" applyBorder="1" applyAlignment="1">
      <alignment horizontal="center" vertical="center"/>
    </xf>
    <xf numFmtId="0" fontId="59" fillId="3" borderId="1" xfId="0" applyFont="1" applyFill="1" applyBorder="1" applyAlignment="1">
      <alignment horizontal="center" vertical="center"/>
    </xf>
    <xf numFmtId="2" fontId="22" fillId="3" borderId="1" xfId="0" applyNumberFormat="1" applyFont="1" applyFill="1" applyBorder="1" applyAlignment="1">
      <alignment horizontal="center" vertical="center"/>
    </xf>
    <xf numFmtId="0" fontId="64" fillId="3" borderId="1" xfId="0" applyFont="1" applyFill="1" applyBorder="1" applyAlignment="1">
      <alignment horizontal="center" vertical="center"/>
    </xf>
    <xf numFmtId="164" fontId="59" fillId="3" borderId="1" xfId="0" applyNumberFormat="1" applyFont="1" applyFill="1" applyBorder="1" applyAlignment="1">
      <alignment horizontal="center" wrapText="1"/>
    </xf>
    <xf numFmtId="10" fontId="49" fillId="42" borderId="1" xfId="56" applyNumberFormat="1" applyFont="1" applyFill="1" applyBorder="1" applyAlignment="1">
      <alignment horizontal="center" vertical="center" wrapText="1"/>
    </xf>
    <xf numFmtId="0" fontId="67" fillId="0" borderId="1" xfId="0" applyFont="1" applyBorder="1" applyAlignment="1">
      <alignment horizontal="center" vertical="center" wrapText="1"/>
    </xf>
    <xf numFmtId="0" fontId="72" fillId="48" borderId="1"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38" fillId="3" borderId="1" xfId="0" applyFont="1" applyFill="1" applyBorder="1" applyAlignment="1">
      <alignment horizontal="center" vertical="center" wrapText="1"/>
    </xf>
    <xf numFmtId="0" fontId="39" fillId="0" borderId="1" xfId="51" applyFont="1" applyFill="1" applyBorder="1" applyAlignment="1">
      <alignment horizontal="center" vertical="center" wrapText="1"/>
    </xf>
    <xf numFmtId="49" fontId="22" fillId="0" borderId="1" xfId="53" applyNumberFormat="1" applyFont="1" applyFill="1" applyBorder="1" applyAlignment="1">
      <alignment horizontal="center" vertical="center" wrapText="1"/>
    </xf>
    <xf numFmtId="0" fontId="39" fillId="0" borderId="2" xfId="51" applyFont="1" applyFill="1" applyBorder="1" applyAlignment="1">
      <alignment horizontal="center" vertical="center" wrapText="1"/>
    </xf>
    <xf numFmtId="0" fontId="39" fillId="0" borderId="1" xfId="51" applyFont="1" applyFill="1" applyBorder="1" applyAlignment="1">
      <alignment horizontal="center" vertical="center" wrapText="1"/>
    </xf>
    <xf numFmtId="0" fontId="39" fillId="0" borderId="2" xfId="51" applyFont="1" applyFill="1" applyBorder="1" applyAlignment="1">
      <alignment vertical="top" wrapText="1"/>
    </xf>
    <xf numFmtId="0" fontId="22" fillId="44" borderId="0" xfId="1" applyFont="1" applyFill="1" applyBorder="1" applyAlignment="1" applyProtection="1">
      <alignment vertical="top"/>
      <protection locked="0"/>
    </xf>
    <xf numFmtId="0" fontId="22" fillId="38" borderId="0" xfId="1" applyFont="1" applyFill="1" applyBorder="1" applyAlignment="1" applyProtection="1">
      <alignment vertical="top"/>
      <protection locked="0"/>
    </xf>
    <xf numFmtId="0" fontId="36" fillId="0" borderId="1" xfId="1" applyFont="1" applyFill="1" applyBorder="1" applyAlignment="1" applyProtection="1">
      <alignment horizontal="center" vertical="center" wrapText="1"/>
      <protection hidden="1"/>
    </xf>
    <xf numFmtId="1" fontId="36" fillId="0" borderId="1" xfId="56" applyNumberFormat="1" applyFont="1" applyFill="1" applyBorder="1" applyAlignment="1">
      <alignment horizontal="center" vertical="center" wrapText="1"/>
    </xf>
    <xf numFmtId="2" fontId="36" fillId="37" borderId="1" xfId="53" applyNumberFormat="1" applyFont="1" applyFill="1" applyBorder="1" applyAlignment="1">
      <alignment horizontal="center" vertical="center" wrapText="1"/>
    </xf>
    <xf numFmtId="166" fontId="36" fillId="40" borderId="1" xfId="56" applyNumberFormat="1" applyFont="1" applyFill="1" applyBorder="1" applyAlignment="1">
      <alignment horizontal="center" vertical="center" wrapText="1"/>
    </xf>
    <xf numFmtId="166" fontId="36" fillId="4" borderId="1" xfId="56" applyNumberFormat="1" applyFont="1" applyFill="1" applyBorder="1" applyAlignment="1">
      <alignment horizontal="center" vertical="center" wrapText="1"/>
    </xf>
    <xf numFmtId="166" fontId="36" fillId="37" borderId="1" xfId="56" applyNumberFormat="1" applyFont="1" applyFill="1" applyBorder="1" applyAlignment="1">
      <alignment horizontal="center" vertical="center" wrapText="1"/>
    </xf>
    <xf numFmtId="0" fontId="22" fillId="3" borderId="1" xfId="56" applyNumberFormat="1" applyFont="1" applyFill="1" applyBorder="1" applyAlignment="1">
      <alignment horizontal="center" vertical="center" wrapText="1"/>
    </xf>
    <xf numFmtId="0" fontId="39" fillId="0" borderId="1" xfId="51" applyFont="1" applyFill="1" applyBorder="1" applyAlignment="1">
      <alignment horizontal="left" vertical="center" wrapText="1"/>
    </xf>
    <xf numFmtId="0" fontId="39" fillId="0" borderId="1" xfId="51" applyFont="1" applyFill="1" applyBorder="1" applyAlignment="1">
      <alignment vertical="top" wrapText="1"/>
    </xf>
    <xf numFmtId="0" fontId="22" fillId="0" borderId="1" xfId="0" applyFont="1" applyFill="1" applyBorder="1" applyAlignment="1">
      <alignment horizontal="center" vertical="center" wrapText="1"/>
    </xf>
    <xf numFmtId="0" fontId="39" fillId="0" borderId="2" xfId="51" applyFont="1" applyFill="1" applyBorder="1" applyAlignment="1">
      <alignment horizontal="center" vertical="center"/>
    </xf>
    <xf numFmtId="2" fontId="22" fillId="0" borderId="1" xfId="53"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22" fillId="3" borderId="1" xfId="0" applyFont="1" applyFill="1" applyBorder="1" applyAlignment="1">
      <alignment horizontal="center" vertical="center" wrapText="1"/>
    </xf>
    <xf numFmtId="10" fontId="0" fillId="0" borderId="0" xfId="51" applyNumberFormat="1" applyFont="1"/>
    <xf numFmtId="10" fontId="0" fillId="0" borderId="0" xfId="51" applyNumberFormat="1" applyFont="1" applyFill="1"/>
    <xf numFmtId="166" fontId="49" fillId="49" borderId="1" xfId="56" applyNumberFormat="1" applyFont="1" applyFill="1" applyBorder="1" applyAlignment="1">
      <alignment horizontal="center" vertical="center" wrapText="1"/>
    </xf>
    <xf numFmtId="0" fontId="2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1" fontId="21" fillId="0" borderId="1" xfId="56" applyNumberFormat="1" applyFont="1" applyFill="1" applyBorder="1" applyAlignment="1">
      <alignment horizontal="center" vertical="center" wrapText="1"/>
    </xf>
    <xf numFmtId="0" fontId="8" fillId="0" borderId="0" xfId="0" applyFont="1" applyAlignment="1">
      <alignment horizontal="center" vertical="center"/>
    </xf>
    <xf numFmtId="0" fontId="39" fillId="0" borderId="1" xfId="51" applyFont="1" applyFill="1" applyBorder="1" applyAlignment="1">
      <alignment horizontal="center" vertical="center" wrapText="1"/>
    </xf>
    <xf numFmtId="0" fontId="22" fillId="3" borderId="1" xfId="0" applyFont="1" applyFill="1" applyBorder="1" applyAlignment="1">
      <alignment horizontal="center" vertical="center" wrapText="1"/>
    </xf>
    <xf numFmtId="1" fontId="21" fillId="0" borderId="1" xfId="56"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2" fillId="3" borderId="1" xfId="0" applyFont="1" applyFill="1" applyBorder="1" applyAlignment="1">
      <alignment horizontal="left" vertical="center" wrapText="1"/>
    </xf>
    <xf numFmtId="0" fontId="39" fillId="0" borderId="2" xfId="51" applyFont="1" applyFill="1" applyBorder="1" applyAlignment="1">
      <alignment vertical="top" wrapText="1"/>
    </xf>
    <xf numFmtId="0" fontId="22" fillId="3" borderId="1" xfId="0" applyFont="1" applyFill="1" applyBorder="1" applyAlignment="1">
      <alignment horizontal="center" vertical="center" wrapText="1"/>
    </xf>
    <xf numFmtId="0" fontId="22" fillId="3" borderId="1" xfId="0" applyFont="1" applyFill="1" applyBorder="1" applyAlignment="1">
      <alignment horizontal="left" vertical="center" wrapText="1"/>
    </xf>
    <xf numFmtId="0" fontId="67" fillId="0" borderId="1" xfId="0" applyFont="1" applyBorder="1" applyAlignment="1">
      <alignment horizontal="center" vertical="center"/>
    </xf>
    <xf numFmtId="2" fontId="49" fillId="40" borderId="1" xfId="53" applyNumberFormat="1" applyFont="1" applyFill="1" applyBorder="1" applyAlignment="1">
      <alignment horizontal="center" vertical="center" wrapText="1"/>
    </xf>
    <xf numFmtId="0" fontId="51" fillId="3" borderId="1" xfId="4" applyFont="1" applyFill="1" applyBorder="1" applyAlignment="1" applyProtection="1">
      <alignment vertical="center"/>
      <protection locked="0"/>
    </xf>
    <xf numFmtId="0" fontId="76" fillId="0" borderId="1" xfId="0" applyFont="1" applyFill="1" applyBorder="1" applyAlignment="1">
      <alignment horizontal="center" vertical="center" wrapText="1"/>
    </xf>
    <xf numFmtId="0" fontId="77" fillId="0" borderId="34" xfId="0" applyFont="1" applyFill="1" applyBorder="1" applyAlignment="1">
      <alignment horizontal="center" vertical="center" wrapText="1"/>
    </xf>
    <xf numFmtId="0" fontId="68" fillId="0" borderId="34" xfId="0" applyFont="1" applyFill="1" applyBorder="1" applyAlignment="1">
      <alignment horizontal="center" vertical="center" wrapText="1"/>
    </xf>
    <xf numFmtId="0" fontId="69" fillId="0" borderId="34"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2" fillId="3" borderId="2"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39" fillId="0" borderId="1" xfId="51" applyFont="1" applyFill="1" applyBorder="1" applyAlignment="1">
      <alignment horizontal="center" vertical="center" wrapText="1"/>
    </xf>
    <xf numFmtId="0" fontId="40" fillId="46" borderId="2" xfId="51"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2" fillId="3" borderId="5" xfId="0" applyFont="1" applyFill="1" applyBorder="1" applyAlignment="1">
      <alignment horizontal="left" vertical="center" wrapText="1"/>
    </xf>
    <xf numFmtId="4" fontId="22" fillId="3"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0" fontId="22" fillId="3" borderId="1" xfId="1" applyFont="1" applyFill="1" applyBorder="1" applyAlignment="1">
      <alignment horizontal="center" vertical="center" wrapText="1"/>
    </xf>
    <xf numFmtId="164" fontId="22" fillId="3" borderId="1" xfId="1" applyNumberFormat="1" applyFont="1" applyFill="1" applyBorder="1" applyAlignment="1">
      <alignment horizontal="center" vertical="center" wrapText="1"/>
    </xf>
    <xf numFmtId="0" fontId="46" fillId="3" borderId="3" xfId="51" applyFont="1" applyFill="1" applyBorder="1" applyAlignment="1">
      <alignment horizontal="center" vertical="center"/>
    </xf>
    <xf numFmtId="0" fontId="2" fillId="3" borderId="8" xfId="0" applyFont="1" applyFill="1" applyBorder="1" applyAlignment="1">
      <alignment horizontal="center" vertical="center" wrapText="1"/>
    </xf>
    <xf numFmtId="0" fontId="2" fillId="3" borderId="1" xfId="1" applyFont="1" applyFill="1" applyBorder="1" applyAlignment="1">
      <alignment horizontal="center" vertical="center" wrapText="1"/>
    </xf>
    <xf numFmtId="164" fontId="22" fillId="0" borderId="2" xfId="49" applyNumberFormat="1" applyFont="1" applyFill="1" applyBorder="1" applyAlignment="1" applyProtection="1">
      <alignment horizontal="center" vertical="center" wrapText="1"/>
      <protection locked="0"/>
    </xf>
    <xf numFmtId="164" fontId="22" fillId="0" borderId="1" xfId="49" applyNumberFormat="1" applyFont="1" applyFill="1" applyBorder="1" applyAlignment="1" applyProtection="1">
      <alignment horizontal="center" vertical="center" wrapText="1"/>
      <protection locked="0"/>
    </xf>
    <xf numFmtId="0" fontId="22" fillId="3" borderId="5" xfId="0" applyFont="1" applyFill="1" applyBorder="1" applyAlignment="1">
      <alignment horizontal="left" vertical="top" wrapText="1"/>
    </xf>
    <xf numFmtId="49" fontId="22" fillId="0" borderId="1" xfId="53" applyNumberFormat="1" applyFont="1" applyFill="1" applyBorder="1" applyAlignment="1">
      <alignment horizontal="center" vertical="center" wrapText="1"/>
    </xf>
    <xf numFmtId="10" fontId="23" fillId="0" borderId="1" xfId="56" applyNumberFormat="1" applyFont="1" applyFill="1" applyBorder="1" applyAlignment="1">
      <alignment horizontal="center" vertical="center" wrapText="1"/>
    </xf>
    <xf numFmtId="0" fontId="36" fillId="0" borderId="2" xfId="1" applyFont="1" applyFill="1" applyBorder="1" applyAlignment="1" applyProtection="1">
      <alignment horizontal="center" vertical="center" wrapText="1"/>
      <protection hidden="1"/>
    </xf>
    <xf numFmtId="49" fontId="7" fillId="0" borderId="2" xfId="0" applyNumberFormat="1" applyFont="1" applyFill="1" applyBorder="1" applyAlignment="1">
      <alignment horizontal="center" vertical="top" wrapText="1"/>
    </xf>
    <xf numFmtId="1" fontId="23" fillId="0" borderId="1" xfId="56" applyNumberFormat="1" applyFont="1" applyFill="1" applyBorder="1" applyAlignment="1">
      <alignment horizontal="center" vertical="center" wrapText="1"/>
    </xf>
    <xf numFmtId="0" fontId="34" fillId="3" borderId="25" xfId="0" applyFont="1" applyFill="1" applyBorder="1" applyAlignment="1">
      <alignment horizontal="center" vertical="top" wrapText="1"/>
    </xf>
    <xf numFmtId="0" fontId="22" fillId="0" borderId="1" xfId="0" applyFont="1" applyFill="1" applyBorder="1" applyAlignment="1">
      <alignment vertical="top" wrapText="1"/>
    </xf>
    <xf numFmtId="2" fontId="22" fillId="3" borderId="5" xfId="0" applyNumberFormat="1" applyFont="1" applyFill="1" applyBorder="1" applyAlignment="1">
      <alignment horizontal="center" vertical="center" wrapText="1"/>
    </xf>
    <xf numFmtId="0" fontId="22" fillId="0" borderId="5" xfId="0" applyFont="1" applyFill="1" applyBorder="1" applyAlignment="1">
      <alignment horizontal="center" vertical="center" wrapText="1"/>
    </xf>
    <xf numFmtId="49" fontId="21" fillId="46" borderId="1" xfId="4" applyNumberFormat="1" applyFont="1" applyFill="1" applyBorder="1" applyAlignment="1" applyProtection="1">
      <alignment horizontal="center" vertical="top" wrapText="1"/>
      <protection hidden="1"/>
    </xf>
    <xf numFmtId="166" fontId="21" fillId="46" borderId="1" xfId="4" applyNumberFormat="1" applyFont="1" applyFill="1" applyBorder="1" applyAlignment="1" applyProtection="1">
      <alignment horizontal="center" vertical="top" wrapText="1"/>
      <protection hidden="1"/>
    </xf>
    <xf numFmtId="0" fontId="21" fillId="46" borderId="1" xfId="4" applyFont="1" applyFill="1" applyBorder="1" applyAlignment="1">
      <alignment horizontal="left" vertical="top" wrapText="1"/>
    </xf>
    <xf numFmtId="0" fontId="21" fillId="46" borderId="1" xfId="4" applyFont="1" applyFill="1" applyBorder="1" applyAlignment="1" applyProtection="1">
      <alignment horizontal="center" vertical="top" wrapText="1"/>
      <protection hidden="1"/>
    </xf>
    <xf numFmtId="49" fontId="21" fillId="46" borderId="1" xfId="4" applyNumberFormat="1" applyFont="1" applyFill="1" applyBorder="1" applyAlignment="1" applyProtection="1">
      <alignment horizontal="center" vertical="center" wrapText="1"/>
      <protection hidden="1"/>
    </xf>
    <xf numFmtId="166" fontId="21" fillId="46" borderId="1" xfId="4" applyNumberFormat="1" applyFont="1" applyFill="1" applyBorder="1" applyAlignment="1" applyProtection="1">
      <alignment horizontal="center" vertical="center" wrapText="1"/>
      <protection hidden="1"/>
    </xf>
    <xf numFmtId="0" fontId="2" fillId="46" borderId="1" xfId="0" applyFont="1" applyFill="1" applyBorder="1" applyAlignment="1">
      <alignment horizontal="center" vertical="center" wrapText="1"/>
    </xf>
    <xf numFmtId="164" fontId="22" fillId="46" borderId="1" xfId="1" applyNumberFormat="1" applyFont="1" applyFill="1" applyBorder="1" applyAlignment="1">
      <alignment horizontal="center" vertical="top" wrapText="1"/>
    </xf>
    <xf numFmtId="166" fontId="40" fillId="46" borderId="1" xfId="51" applyNumberFormat="1" applyFont="1" applyFill="1" applyBorder="1" applyAlignment="1">
      <alignment horizontal="center" vertical="top" wrapText="1"/>
    </xf>
    <xf numFmtId="166" fontId="39" fillId="46" borderId="1" xfId="51" applyNumberFormat="1" applyFont="1" applyFill="1" applyBorder="1" applyAlignment="1">
      <alignment horizontal="center" vertical="top" wrapText="1"/>
    </xf>
    <xf numFmtId="166" fontId="39" fillId="46" borderId="1" xfId="51" applyNumberFormat="1" applyFont="1" applyFill="1" applyBorder="1" applyAlignment="1">
      <alignment horizontal="center" vertical="center" wrapText="1"/>
    </xf>
    <xf numFmtId="166" fontId="40" fillId="46" borderId="1" xfId="51" applyNumberFormat="1" applyFont="1" applyFill="1" applyBorder="1" applyAlignment="1">
      <alignment horizontal="center" vertical="center" wrapText="1"/>
    </xf>
    <xf numFmtId="49" fontId="37" fillId="46" borderId="1" xfId="0" applyNumberFormat="1" applyFont="1" applyFill="1" applyBorder="1" applyAlignment="1">
      <alignment horizontal="center" vertical="center" wrapText="1"/>
    </xf>
    <xf numFmtId="49" fontId="7" fillId="46" borderId="1" xfId="0" applyNumberFormat="1" applyFont="1" applyFill="1" applyBorder="1" applyAlignment="1">
      <alignment horizontal="center" vertical="center" wrapText="1"/>
    </xf>
    <xf numFmtId="164" fontId="7" fillId="46" borderId="1" xfId="0" applyNumberFormat="1" applyFont="1" applyFill="1" applyBorder="1" applyAlignment="1">
      <alignment horizontal="right" vertical="top" wrapText="1"/>
    </xf>
    <xf numFmtId="164" fontId="40" fillId="46" borderId="1" xfId="51" applyNumberFormat="1" applyFont="1" applyFill="1" applyBorder="1" applyAlignment="1">
      <alignment horizontal="right" vertical="top" wrapText="1"/>
    </xf>
    <xf numFmtId="164" fontId="39" fillId="46" borderId="1" xfId="51" applyNumberFormat="1" applyFont="1" applyFill="1" applyBorder="1" applyAlignment="1">
      <alignment horizontal="right" vertical="top" wrapText="1"/>
    </xf>
    <xf numFmtId="0" fontId="40" fillId="46" borderId="1" xfId="51" applyFont="1" applyFill="1" applyBorder="1" applyAlignment="1">
      <alignment horizontal="center" vertical="center"/>
    </xf>
    <xf numFmtId="0" fontId="39" fillId="46" borderId="2" xfId="51" applyFont="1" applyFill="1" applyBorder="1" applyAlignment="1">
      <alignment horizontal="center" vertical="center"/>
    </xf>
    <xf numFmtId="166" fontId="39" fillId="46" borderId="2" xfId="51" applyNumberFormat="1" applyFont="1" applyFill="1" applyBorder="1" applyAlignment="1">
      <alignment horizontal="center" vertical="center"/>
    </xf>
    <xf numFmtId="0" fontId="7" fillId="46" borderId="2" xfId="51" applyFont="1" applyFill="1" applyBorder="1" applyAlignment="1">
      <alignment vertical="center" wrapText="1"/>
    </xf>
    <xf numFmtId="0" fontId="7" fillId="46" borderId="1" xfId="51" applyFont="1" applyFill="1" applyBorder="1" applyAlignment="1">
      <alignment vertical="top"/>
    </xf>
    <xf numFmtId="164" fontId="22" fillId="3" borderId="1" xfId="0" applyNumberFormat="1" applyFont="1" applyFill="1" applyBorder="1" applyAlignment="1" applyProtection="1">
      <alignment horizontal="center" vertical="center"/>
    </xf>
    <xf numFmtId="164" fontId="2" fillId="3" borderId="1" xfId="0" applyNumberFormat="1" applyFont="1" applyFill="1" applyBorder="1" applyAlignment="1">
      <alignment horizontal="center" vertical="center"/>
    </xf>
    <xf numFmtId="164" fontId="22" fillId="3" borderId="1" xfId="63"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164" fontId="2" fillId="3" borderId="1" xfId="0" applyNumberFormat="1" applyFont="1" applyFill="1" applyBorder="1" applyAlignment="1">
      <alignment horizontal="center" wrapText="1"/>
    </xf>
    <xf numFmtId="164" fontId="2" fillId="3" borderId="4" xfId="0" applyNumberFormat="1" applyFont="1" applyFill="1" applyBorder="1" applyAlignment="1">
      <alignment horizontal="center" vertical="center"/>
    </xf>
    <xf numFmtId="4" fontId="2" fillId="3" borderId="4" xfId="0" applyNumberFormat="1" applyFont="1" applyFill="1" applyBorder="1" applyAlignment="1">
      <alignment horizontal="center" vertical="center" wrapText="1"/>
    </xf>
    <xf numFmtId="164" fontId="22" fillId="3" borderId="1" xfId="76" applyNumberFormat="1" applyFont="1" applyFill="1" applyBorder="1" applyAlignment="1">
      <alignment horizontal="center" vertical="top"/>
    </xf>
    <xf numFmtId="164" fontId="2" fillId="3" borderId="1" xfId="76" applyNumberFormat="1" applyFont="1" applyFill="1" applyBorder="1" applyAlignment="1">
      <alignment horizontal="center" vertical="top"/>
    </xf>
    <xf numFmtId="164" fontId="22" fillId="3" borderId="1" xfId="0" applyNumberFormat="1" applyFont="1" applyFill="1" applyBorder="1" applyAlignment="1">
      <alignment horizontal="center" vertical="top" wrapText="1"/>
    </xf>
    <xf numFmtId="164" fontId="64" fillId="3" borderId="34" xfId="1" applyNumberFormat="1" applyFont="1" applyFill="1" applyBorder="1" applyAlignment="1">
      <alignment horizontal="center" wrapText="1"/>
    </xf>
    <xf numFmtId="164" fontId="2" fillId="3" borderId="34" xfId="1" applyNumberFormat="1" applyFont="1" applyFill="1" applyBorder="1" applyAlignment="1">
      <alignment horizontal="center" wrapText="1"/>
    </xf>
    <xf numFmtId="164" fontId="2" fillId="50" borderId="1" xfId="77" applyNumberFormat="1" applyFont="1" applyFill="1" applyBorder="1" applyAlignment="1">
      <alignment horizontal="center" wrapText="1"/>
    </xf>
    <xf numFmtId="164" fontId="2" fillId="51" borderId="1" xfId="77" applyNumberFormat="1" applyFont="1" applyFill="1" applyBorder="1" applyAlignment="1">
      <alignment horizontal="center" wrapText="1"/>
    </xf>
    <xf numFmtId="164" fontId="22" fillId="3" borderId="34" xfId="1" applyNumberFormat="1" applyFont="1" applyFill="1" applyBorder="1" applyAlignment="1">
      <alignment horizontal="center" wrapText="1"/>
    </xf>
    <xf numFmtId="164" fontId="2" fillId="41" borderId="1" xfId="78" applyNumberFormat="1" applyFont="1" applyFill="1" applyBorder="1" applyAlignment="1">
      <alignment horizontal="center" wrapText="1"/>
    </xf>
    <xf numFmtId="164" fontId="2" fillId="51" borderId="34" xfId="78" applyNumberFormat="1" applyFont="1" applyFill="1" applyBorder="1" applyAlignment="1">
      <alignment horizontal="center" wrapText="1"/>
    </xf>
    <xf numFmtId="164" fontId="2" fillId="41" borderId="1" xfId="51" applyNumberFormat="1" applyFont="1" applyFill="1" applyBorder="1" applyAlignment="1">
      <alignment horizontal="center" wrapText="1"/>
    </xf>
    <xf numFmtId="4" fontId="22" fillId="41" borderId="1" xfId="0" applyNumberFormat="1" applyFont="1" applyFill="1" applyBorder="1" applyAlignment="1">
      <alignment horizontal="center" wrapText="1"/>
    </xf>
    <xf numFmtId="164" fontId="2" fillId="41" borderId="1" xfId="77" applyNumberFormat="1" applyFont="1" applyFill="1" applyBorder="1" applyAlignment="1">
      <alignment horizontal="center" wrapText="1"/>
    </xf>
    <xf numFmtId="0" fontId="46" fillId="3" borderId="34" xfId="51" applyFont="1" applyFill="1" applyBorder="1" applyAlignment="1">
      <alignment horizontal="center"/>
    </xf>
    <xf numFmtId="166" fontId="2" fillId="3" borderId="1" xfId="0" applyNumberFormat="1" applyFont="1" applyFill="1" applyBorder="1" applyAlignment="1">
      <alignment horizontal="center" vertical="center"/>
    </xf>
    <xf numFmtId="0" fontId="82" fillId="3" borderId="1" xfId="0" applyFont="1" applyFill="1" applyBorder="1" applyAlignment="1">
      <alignment horizontal="center" vertical="center"/>
    </xf>
    <xf numFmtId="164" fontId="82" fillId="3" borderId="1" xfId="0" applyNumberFormat="1" applyFont="1" applyFill="1" applyBorder="1" applyAlignment="1">
      <alignment horizontal="center" vertical="center"/>
    </xf>
    <xf numFmtId="0" fontId="22" fillId="3" borderId="42" xfId="0" applyFont="1" applyFill="1" applyBorder="1" applyAlignment="1">
      <alignment horizontal="center" vertical="center"/>
    </xf>
    <xf numFmtId="164" fontId="22" fillId="3" borderId="42" xfId="0" applyNumberFormat="1" applyFont="1" applyFill="1" applyBorder="1" applyAlignment="1">
      <alignment horizontal="center" vertical="center"/>
    </xf>
    <xf numFmtId="4" fontId="23" fillId="3" borderId="1" xfId="0" applyNumberFormat="1" applyFont="1" applyFill="1" applyBorder="1" applyAlignment="1">
      <alignment horizontal="center" vertical="center"/>
    </xf>
    <xf numFmtId="4" fontId="23" fillId="3" borderId="1" xfId="0" applyNumberFormat="1" applyFont="1" applyFill="1" applyBorder="1" applyAlignment="1">
      <alignment horizontal="center" vertical="center" wrapText="1"/>
    </xf>
    <xf numFmtId="166" fontId="2" fillId="3" borderId="1" xfId="0" applyNumberFormat="1" applyFont="1" applyFill="1" applyBorder="1" applyAlignment="1">
      <alignment horizontal="center" vertical="center" wrapText="1"/>
    </xf>
    <xf numFmtId="166" fontId="2" fillId="3" borderId="1" xfId="0" applyNumberFormat="1" applyFont="1" applyFill="1" applyBorder="1" applyAlignment="1">
      <alignment horizontal="center" wrapText="1"/>
    </xf>
    <xf numFmtId="0" fontId="21" fillId="46" borderId="1" xfId="1" applyFont="1" applyFill="1" applyBorder="1" applyAlignment="1">
      <alignment horizontal="center" vertical="center" wrapText="1"/>
    </xf>
    <xf numFmtId="164" fontId="21" fillId="46" borderId="1" xfId="1" applyNumberFormat="1" applyFont="1" applyFill="1" applyBorder="1" applyAlignment="1">
      <alignment horizontal="center" vertical="center"/>
    </xf>
    <xf numFmtId="166" fontId="21" fillId="46" borderId="1" xfId="56" applyNumberFormat="1" applyFont="1" applyFill="1" applyBorder="1" applyAlignment="1">
      <alignment horizontal="center" vertical="center"/>
    </xf>
    <xf numFmtId="0" fontId="22" fillId="46" borderId="1" xfId="1" applyFont="1" applyFill="1" applyBorder="1" applyAlignment="1">
      <alignment horizontal="center" vertical="center" wrapText="1"/>
    </xf>
    <xf numFmtId="164" fontId="22" fillId="46" borderId="1" xfId="1" applyNumberFormat="1" applyFont="1" applyFill="1" applyBorder="1" applyAlignment="1">
      <alignment horizontal="center" vertical="center"/>
    </xf>
    <xf numFmtId="166" fontId="22" fillId="46" borderId="1" xfId="56" applyNumberFormat="1" applyFont="1" applyFill="1" applyBorder="1" applyAlignment="1">
      <alignment horizontal="center" vertical="center"/>
    </xf>
    <xf numFmtId="166" fontId="64" fillId="3" borderId="1" xfId="0" applyNumberFormat="1" applyFont="1" applyFill="1" applyBorder="1" applyAlignment="1">
      <alignment horizontal="center" vertical="center" wrapText="1"/>
    </xf>
    <xf numFmtId="166" fontId="21" fillId="3" borderId="1" xfId="0" applyNumberFormat="1" applyFont="1" applyFill="1" applyBorder="1" applyAlignment="1">
      <alignment horizontal="center" vertical="center" wrapText="1"/>
    </xf>
    <xf numFmtId="166" fontId="21" fillId="3" borderId="1" xfId="0" applyNumberFormat="1" applyFont="1" applyFill="1" applyBorder="1" applyAlignment="1">
      <alignment horizontal="center" vertical="center"/>
    </xf>
    <xf numFmtId="166" fontId="22" fillId="3" borderId="1" xfId="0" applyNumberFormat="1" applyFont="1" applyFill="1" applyBorder="1" applyAlignment="1">
      <alignment horizontal="center" vertical="center"/>
    </xf>
    <xf numFmtId="166" fontId="21" fillId="3" borderId="1" xfId="64" applyNumberFormat="1" applyFont="1" applyFill="1" applyBorder="1" applyAlignment="1">
      <alignment horizontal="center" vertical="center" wrapText="1"/>
    </xf>
    <xf numFmtId="166" fontId="22" fillId="3" borderId="1" xfId="64" applyNumberFormat="1" applyFont="1" applyFill="1" applyBorder="1" applyAlignment="1">
      <alignment horizontal="center" vertical="center" wrapText="1"/>
    </xf>
    <xf numFmtId="164" fontId="21" fillId="46" borderId="1" xfId="1" applyNumberFormat="1" applyFont="1" applyFill="1" applyBorder="1" applyAlignment="1">
      <alignment horizontal="center" vertical="center" wrapText="1"/>
    </xf>
    <xf numFmtId="166" fontId="21" fillId="46" borderId="1" xfId="56" applyNumberFormat="1" applyFont="1" applyFill="1" applyBorder="1" applyAlignment="1">
      <alignment horizontal="center" vertical="center" wrapText="1"/>
    </xf>
    <xf numFmtId="164" fontId="22" fillId="46" borderId="1" xfId="1" applyNumberFormat="1" applyFont="1" applyFill="1" applyBorder="1" applyAlignment="1">
      <alignment horizontal="center" vertical="center" wrapText="1"/>
    </xf>
    <xf numFmtId="166" fontId="22" fillId="46" borderId="1" xfId="56" applyNumberFormat="1" applyFont="1" applyFill="1" applyBorder="1" applyAlignment="1">
      <alignment horizontal="center" vertical="center" wrapText="1"/>
    </xf>
    <xf numFmtId="0" fontId="21" fillId="46" borderId="34" xfId="1" applyFont="1" applyFill="1" applyBorder="1" applyAlignment="1">
      <alignment horizontal="center" vertical="center" wrapText="1"/>
    </xf>
    <xf numFmtId="164" fontId="21" fillId="46" borderId="34" xfId="1" applyNumberFormat="1" applyFont="1" applyFill="1" applyBorder="1" applyAlignment="1">
      <alignment horizontal="center" vertical="center" wrapText="1"/>
    </xf>
    <xf numFmtId="166" fontId="21" fillId="46" borderId="34" xfId="56" applyNumberFormat="1" applyFont="1" applyFill="1" applyBorder="1" applyAlignment="1">
      <alignment horizontal="center" vertical="center" wrapText="1"/>
    </xf>
    <xf numFmtId="4" fontId="21" fillId="46" borderId="1" xfId="1" applyNumberFormat="1" applyFont="1" applyFill="1" applyBorder="1" applyAlignment="1">
      <alignment horizontal="center" vertical="center" wrapText="1"/>
    </xf>
    <xf numFmtId="9" fontId="21" fillId="46" borderId="3" xfId="56" applyFont="1" applyFill="1" applyBorder="1" applyAlignment="1">
      <alignment horizontal="center" vertical="center" wrapText="1"/>
    </xf>
    <xf numFmtId="0" fontId="21" fillId="46" borderId="27" xfId="1" applyFont="1" applyFill="1" applyBorder="1" applyAlignment="1">
      <alignment horizontal="center" vertical="center" wrapText="1"/>
    </xf>
    <xf numFmtId="9" fontId="21" fillId="46" borderId="34" xfId="56" applyFont="1" applyFill="1" applyBorder="1" applyAlignment="1">
      <alignment horizontal="center" vertical="center" wrapText="1"/>
    </xf>
    <xf numFmtId="166" fontId="21" fillId="4" borderId="1" xfId="56" applyNumberFormat="1" applyFont="1" applyFill="1" applyBorder="1" applyAlignment="1">
      <alignment horizontal="center" vertical="center" wrapText="1"/>
    </xf>
    <xf numFmtId="166" fontId="21" fillId="40" borderId="1" xfId="56" applyNumberFormat="1" applyFont="1" applyFill="1" applyBorder="1" applyAlignment="1">
      <alignment horizontal="center" vertical="center" wrapText="1"/>
    </xf>
    <xf numFmtId="166" fontId="21" fillId="37" borderId="1" xfId="56" applyNumberFormat="1" applyFont="1" applyFill="1" applyBorder="1" applyAlignment="1">
      <alignment horizontal="center" vertical="center" wrapText="1"/>
    </xf>
    <xf numFmtId="0" fontId="52" fillId="5" borderId="1" xfId="4" applyFont="1" applyFill="1" applyBorder="1" applyAlignment="1" applyProtection="1">
      <alignment horizontal="left" vertical="top" wrapText="1"/>
      <protection hidden="1"/>
    </xf>
    <xf numFmtId="0" fontId="52" fillId="5" borderId="6" xfId="4" applyFont="1" applyFill="1" applyBorder="1" applyAlignment="1" applyProtection="1">
      <alignment horizontal="left" vertical="top" wrapText="1"/>
      <protection hidden="1"/>
    </xf>
    <xf numFmtId="0" fontId="52" fillId="5" borderId="7" xfId="4" applyFont="1" applyFill="1" applyBorder="1" applyAlignment="1" applyProtection="1">
      <alignment horizontal="left" vertical="top" wrapText="1"/>
      <protection hidden="1"/>
    </xf>
    <xf numFmtId="0" fontId="52" fillId="5" borderId="4" xfId="4" applyFont="1" applyFill="1" applyBorder="1" applyAlignment="1" applyProtection="1">
      <alignment horizontal="left" vertical="top" wrapText="1"/>
      <protection hidden="1"/>
    </xf>
    <xf numFmtId="2" fontId="21" fillId="5" borderId="6" xfId="4" applyNumberFormat="1" applyFont="1" applyFill="1" applyBorder="1" applyAlignment="1" applyProtection="1">
      <alignment horizontal="left" vertical="top" wrapText="1"/>
      <protection hidden="1"/>
    </xf>
    <xf numFmtId="2" fontId="21" fillId="5" borderId="7" xfId="4" applyNumberFormat="1" applyFont="1" applyFill="1" applyBorder="1" applyAlignment="1" applyProtection="1">
      <alignment horizontal="left" vertical="top" wrapText="1"/>
      <protection hidden="1"/>
    </xf>
    <xf numFmtId="0" fontId="52" fillId="46" borderId="1" xfId="4" applyFont="1" applyFill="1" applyBorder="1" applyAlignment="1" applyProtection="1">
      <alignment horizontal="left" vertical="top" wrapText="1"/>
      <protection hidden="1"/>
    </xf>
    <xf numFmtId="0" fontId="52" fillId="46" borderId="1" xfId="4" applyFont="1" applyFill="1" applyBorder="1" applyAlignment="1" applyProtection="1">
      <alignment horizontal="left" vertical="center" wrapText="1"/>
      <protection hidden="1"/>
    </xf>
    <xf numFmtId="49" fontId="2" fillId="0" borderId="0" xfId="4" applyNumberFormat="1" applyFont="1" applyFill="1" applyBorder="1" applyAlignment="1">
      <alignment horizontal="left" vertical="top"/>
    </xf>
    <xf numFmtId="0" fontId="52" fillId="46" borderId="6" xfId="4" applyFont="1" applyFill="1" applyBorder="1" applyAlignment="1" applyProtection="1">
      <alignment horizontal="left" vertical="top" wrapText="1"/>
      <protection hidden="1"/>
    </xf>
    <xf numFmtId="0" fontId="52" fillId="46" borderId="7" xfId="4" applyFont="1" applyFill="1" applyBorder="1" applyAlignment="1" applyProtection="1">
      <alignment horizontal="left" vertical="top" wrapText="1"/>
      <protection hidden="1"/>
    </xf>
    <xf numFmtId="0" fontId="52" fillId="46" borderId="4" xfId="4" applyFont="1" applyFill="1" applyBorder="1" applyAlignment="1" applyProtection="1">
      <alignment horizontal="left" vertical="top" wrapText="1"/>
      <protection hidden="1"/>
    </xf>
    <xf numFmtId="0" fontId="52" fillId="5" borderId="25" xfId="4" applyFont="1" applyFill="1" applyBorder="1" applyAlignment="1" applyProtection="1">
      <alignment horizontal="left" vertical="top" wrapText="1"/>
      <protection hidden="1"/>
    </xf>
    <xf numFmtId="0" fontId="52" fillId="5" borderId="9" xfId="4" applyFont="1" applyFill="1" applyBorder="1" applyAlignment="1" applyProtection="1">
      <alignment horizontal="left" vertical="top" wrapText="1"/>
      <protection hidden="1"/>
    </xf>
    <xf numFmtId="0" fontId="52" fillId="5" borderId="26" xfId="4" applyFont="1" applyFill="1" applyBorder="1" applyAlignment="1" applyProtection="1">
      <alignment horizontal="left" vertical="top" wrapText="1"/>
      <protection hidden="1"/>
    </xf>
    <xf numFmtId="0" fontId="22" fillId="3" borderId="1" xfId="4" applyFont="1" applyFill="1" applyBorder="1" applyAlignment="1" applyProtection="1">
      <alignment horizontal="center" vertical="center" wrapText="1"/>
      <protection hidden="1"/>
    </xf>
    <xf numFmtId="0" fontId="22" fillId="3" borderId="1" xfId="1" applyFont="1" applyFill="1" applyBorder="1" applyAlignment="1" applyProtection="1">
      <alignment horizontal="center" vertical="center" wrapText="1"/>
      <protection hidden="1"/>
    </xf>
    <xf numFmtId="0" fontId="63" fillId="0" borderId="0" xfId="4" applyFont="1" applyAlignment="1" applyProtection="1">
      <alignment horizontal="center" vertical="top" wrapText="1"/>
      <protection hidden="1"/>
    </xf>
    <xf numFmtId="49" fontId="22" fillId="0" borderId="1" xfId="4" applyNumberFormat="1" applyFont="1" applyFill="1" applyBorder="1" applyAlignment="1" applyProtection="1">
      <alignment horizontal="center" vertical="center" wrapText="1"/>
      <protection hidden="1"/>
    </xf>
    <xf numFmtId="0" fontId="22" fillId="0" borderId="2" xfId="4" applyFont="1" applyFill="1" applyBorder="1" applyAlignment="1" applyProtection="1">
      <alignment horizontal="center" vertical="center" wrapText="1"/>
      <protection hidden="1"/>
    </xf>
    <xf numFmtId="0" fontId="22" fillId="0" borderId="5" xfId="4" applyFont="1" applyFill="1" applyBorder="1" applyAlignment="1" applyProtection="1">
      <alignment horizontal="center" vertical="center" wrapText="1"/>
      <protection hidden="1"/>
    </xf>
    <xf numFmtId="0" fontId="22" fillId="0" borderId="1" xfId="4" applyFont="1" applyFill="1" applyBorder="1" applyAlignment="1" applyProtection="1">
      <alignment horizontal="center" vertical="center" wrapText="1"/>
      <protection hidden="1"/>
    </xf>
    <xf numFmtId="0" fontId="53" fillId="0" borderId="1" xfId="4" applyFont="1" applyFill="1" applyBorder="1" applyAlignment="1" applyProtection="1">
      <alignment horizontal="center" vertical="center" wrapText="1"/>
      <protection hidden="1"/>
    </xf>
    <xf numFmtId="0" fontId="21" fillId="0" borderId="6" xfId="4" applyFont="1" applyFill="1" applyBorder="1" applyAlignment="1" applyProtection="1">
      <alignment horizontal="center" vertical="center" wrapText="1"/>
      <protection hidden="1"/>
    </xf>
    <xf numFmtId="0" fontId="21" fillId="0" borderId="4" xfId="4" applyFont="1" applyFill="1" applyBorder="1" applyAlignment="1" applyProtection="1">
      <alignment horizontal="center" vertical="center" wrapText="1"/>
      <protection hidden="1"/>
    </xf>
    <xf numFmtId="0" fontId="22" fillId="0" borderId="1" xfId="1" applyFont="1" applyFill="1" applyBorder="1" applyAlignment="1" applyProtection="1">
      <alignment horizontal="center" vertical="center" wrapText="1"/>
      <protection hidden="1"/>
    </xf>
    <xf numFmtId="0" fontId="22" fillId="0" borderId="1" xfId="4" applyFont="1" applyFill="1" applyBorder="1" applyAlignment="1" applyProtection="1">
      <alignment horizontal="center" vertical="top" wrapText="1"/>
      <protection hidden="1"/>
    </xf>
    <xf numFmtId="0" fontId="22" fillId="0" borderId="1" xfId="4" applyFont="1" applyFill="1" applyBorder="1" applyAlignment="1">
      <alignment horizontal="center" vertical="top" wrapText="1"/>
    </xf>
    <xf numFmtId="0" fontId="39" fillId="0" borderId="2" xfId="51" applyFont="1" applyFill="1" applyBorder="1" applyAlignment="1">
      <alignment horizontal="center" vertical="center"/>
    </xf>
    <xf numFmtId="0" fontId="39" fillId="0" borderId="3" xfId="51" applyFont="1" applyFill="1" applyBorder="1" applyAlignment="1">
      <alignment horizontal="center" vertical="center"/>
    </xf>
    <xf numFmtId="0" fontId="39" fillId="0" borderId="5" xfId="51" applyFont="1" applyFill="1" applyBorder="1" applyAlignment="1">
      <alignment horizontal="center" vertical="center"/>
    </xf>
    <xf numFmtId="166" fontId="39" fillId="0" borderId="2" xfId="51" applyNumberFormat="1" applyFont="1" applyFill="1" applyBorder="1" applyAlignment="1">
      <alignment horizontal="center" vertical="center"/>
    </xf>
    <xf numFmtId="166" fontId="39" fillId="0" borderId="3" xfId="51" applyNumberFormat="1" applyFont="1" applyFill="1" applyBorder="1" applyAlignment="1">
      <alignment horizontal="center" vertical="center"/>
    </xf>
    <xf numFmtId="166" fontId="39" fillId="0" borderId="5" xfId="51" applyNumberFormat="1" applyFont="1" applyFill="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0" fillId="0" borderId="5" xfId="0" applyBorder="1" applyAlignment="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0" fillId="0" borderId="5" xfId="0"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39" fillId="0" borderId="2" xfId="51" applyFont="1" applyFill="1" applyBorder="1" applyAlignment="1">
      <alignment vertical="center" wrapText="1"/>
    </xf>
    <xf numFmtId="0" fontId="39" fillId="0" borderId="3" xfId="51" applyFont="1" applyFill="1" applyBorder="1" applyAlignment="1">
      <alignment vertical="center" wrapText="1"/>
    </xf>
    <xf numFmtId="0" fontId="39" fillId="0" borderId="5" xfId="51" applyFont="1" applyFill="1" applyBorder="1" applyAlignment="1">
      <alignment vertical="center" wrapText="1"/>
    </xf>
    <xf numFmtId="0" fontId="39" fillId="0" borderId="2" xfId="51" applyFont="1" applyFill="1" applyBorder="1" applyAlignment="1">
      <alignment horizontal="center" vertical="center" wrapText="1"/>
    </xf>
    <xf numFmtId="0" fontId="39" fillId="0" borderId="3" xfId="51" applyFont="1" applyFill="1" applyBorder="1" applyAlignment="1">
      <alignment horizontal="center" vertical="center" wrapText="1"/>
    </xf>
    <xf numFmtId="0" fontId="39" fillId="0" borderId="5" xfId="51" applyFont="1" applyFill="1" applyBorder="1" applyAlignment="1">
      <alignment horizontal="center" vertical="center" wrapText="1"/>
    </xf>
    <xf numFmtId="0" fontId="40" fillId="46" borderId="2" xfId="51" applyFont="1" applyFill="1" applyBorder="1" applyAlignment="1">
      <alignment horizontal="center" vertical="center"/>
    </xf>
    <xf numFmtId="0" fontId="40" fillId="46" borderId="3" xfId="51" applyFont="1" applyFill="1" applyBorder="1" applyAlignment="1">
      <alignment horizontal="center" vertical="center"/>
    </xf>
    <xf numFmtId="0" fontId="40" fillId="46" borderId="5" xfId="51" applyFont="1" applyFill="1" applyBorder="1" applyAlignment="1">
      <alignment horizontal="center" vertical="center"/>
    </xf>
    <xf numFmtId="0" fontId="40" fillId="46" borderId="2" xfId="51" applyFont="1" applyFill="1" applyBorder="1" applyAlignment="1">
      <alignment horizontal="left" vertical="center" wrapText="1"/>
    </xf>
    <xf numFmtId="0" fontId="40" fillId="46" borderId="3" xfId="51" applyFont="1" applyFill="1" applyBorder="1" applyAlignment="1">
      <alignment horizontal="left" vertical="center" wrapText="1"/>
    </xf>
    <xf numFmtId="0" fontId="40" fillId="46" borderId="5" xfId="51" applyFont="1" applyFill="1" applyBorder="1" applyAlignment="1">
      <alignment horizontal="left" vertical="center" wrapText="1"/>
    </xf>
    <xf numFmtId="0" fontId="39" fillId="46" borderId="2" xfId="51" applyFont="1" applyFill="1" applyBorder="1" applyAlignment="1">
      <alignment horizontal="center" vertical="center"/>
    </xf>
    <xf numFmtId="0" fontId="39" fillId="46" borderId="3" xfId="51" applyFont="1" applyFill="1" applyBorder="1" applyAlignment="1">
      <alignment horizontal="center" vertical="center"/>
    </xf>
    <xf numFmtId="0" fontId="39" fillId="46" borderId="5" xfId="51" applyFont="1" applyFill="1" applyBorder="1" applyAlignment="1">
      <alignment horizontal="center" vertical="center"/>
    </xf>
    <xf numFmtId="166" fontId="39" fillId="46" borderId="2" xfId="51" applyNumberFormat="1" applyFont="1" applyFill="1" applyBorder="1" applyAlignment="1">
      <alignment horizontal="center" vertical="center"/>
    </xf>
    <xf numFmtId="166" fontId="39" fillId="46" borderId="3" xfId="51" applyNumberFormat="1" applyFont="1" applyFill="1" applyBorder="1" applyAlignment="1">
      <alignment horizontal="center" vertical="center"/>
    </xf>
    <xf numFmtId="166" fontId="39" fillId="46" borderId="5" xfId="51" applyNumberFormat="1" applyFont="1" applyFill="1" applyBorder="1" applyAlignment="1">
      <alignment horizontal="center" vertical="center"/>
    </xf>
    <xf numFmtId="0" fontId="39" fillId="46" borderId="2" xfId="51" applyFont="1" applyFill="1" applyBorder="1" applyAlignment="1">
      <alignment vertical="center" wrapText="1"/>
    </xf>
    <xf numFmtId="0" fontId="39" fillId="46" borderId="3" xfId="51" applyFont="1" applyFill="1" applyBorder="1" applyAlignment="1">
      <alignment vertical="center" wrapText="1"/>
    </xf>
    <xf numFmtId="0" fontId="39" fillId="46" borderId="5" xfId="51" applyFont="1" applyFill="1" applyBorder="1" applyAlignment="1">
      <alignment vertical="center" wrapText="1"/>
    </xf>
    <xf numFmtId="0" fontId="7" fillId="46" borderId="2" xfId="51" applyFont="1" applyFill="1" applyBorder="1" applyAlignment="1">
      <alignment vertical="top"/>
    </xf>
    <xf numFmtId="0" fontId="7" fillId="46" borderId="3" xfId="51" applyFont="1" applyFill="1" applyBorder="1" applyAlignment="1">
      <alignment vertical="top"/>
    </xf>
    <xf numFmtId="0" fontId="7" fillId="46" borderId="5" xfId="51" applyFont="1" applyFill="1" applyBorder="1" applyAlignment="1">
      <alignment vertical="top"/>
    </xf>
    <xf numFmtId="0" fontId="40" fillId="46" borderId="2" xfId="51" applyFont="1" applyFill="1" applyBorder="1" applyAlignment="1">
      <alignment vertical="center" wrapText="1"/>
    </xf>
    <xf numFmtId="0" fontId="40" fillId="46" borderId="3" xfId="51" applyFont="1" applyFill="1" applyBorder="1" applyAlignment="1">
      <alignment vertical="center" wrapText="1"/>
    </xf>
    <xf numFmtId="0" fontId="40" fillId="46" borderId="5" xfId="51" applyFont="1" applyFill="1" applyBorder="1" applyAlignment="1">
      <alignment vertical="center" wrapText="1"/>
    </xf>
    <xf numFmtId="0" fontId="39" fillId="0" borderId="2" xfId="51" applyFont="1" applyFill="1" applyBorder="1" applyAlignment="1">
      <alignment vertical="top" wrapText="1"/>
    </xf>
    <xf numFmtId="0" fontId="39" fillId="0" borderId="3" xfId="51" applyFont="1" applyFill="1" applyBorder="1" applyAlignment="1">
      <alignment vertical="top" wrapText="1"/>
    </xf>
    <xf numFmtId="166" fontId="39" fillId="0" borderId="1" xfId="51" applyNumberFormat="1" applyFont="1" applyFill="1" applyBorder="1" applyAlignment="1">
      <alignment horizontal="center" vertical="center"/>
    </xf>
    <xf numFmtId="0" fontId="39" fillId="0" borderId="1" xfId="51" applyFont="1" applyFill="1" applyBorder="1" applyAlignment="1">
      <alignment horizontal="left" vertical="center" wrapText="1"/>
    </xf>
    <xf numFmtId="0" fontId="39" fillId="0" borderId="1" xfId="51" applyFont="1" applyFill="1" applyBorder="1" applyAlignment="1">
      <alignment horizontal="center" vertical="center" wrapText="1"/>
    </xf>
    <xf numFmtId="1" fontId="39" fillId="0" borderId="1" xfId="51" applyNumberFormat="1" applyFont="1" applyFill="1" applyBorder="1" applyAlignment="1">
      <alignment horizontal="center" vertical="center"/>
    </xf>
    <xf numFmtId="0" fontId="39" fillId="0" borderId="2" xfId="51" applyFont="1" applyFill="1" applyBorder="1" applyAlignment="1">
      <alignment horizontal="left" vertical="center" wrapText="1"/>
    </xf>
    <xf numFmtId="0" fontId="39" fillId="0" borderId="3" xfId="51" applyFont="1" applyFill="1" applyBorder="1" applyAlignment="1">
      <alignment horizontal="left" vertical="center" wrapText="1"/>
    </xf>
    <xf numFmtId="1" fontId="39" fillId="0" borderId="2" xfId="51" applyNumberFormat="1" applyFont="1" applyFill="1" applyBorder="1" applyAlignment="1">
      <alignment horizontal="center" vertical="center"/>
    </xf>
    <xf numFmtId="1" fontId="39" fillId="0" borderId="3" xfId="51" applyNumberFormat="1" applyFont="1" applyFill="1" applyBorder="1" applyAlignment="1">
      <alignment horizontal="center" vertical="center"/>
    </xf>
    <xf numFmtId="0" fontId="39" fillId="0" borderId="5" xfId="51" applyFont="1" applyFill="1" applyBorder="1" applyAlignment="1">
      <alignment horizontal="left" vertical="center" wrapText="1"/>
    </xf>
    <xf numFmtId="1" fontId="39" fillId="0" borderId="5" xfId="51" applyNumberFormat="1" applyFont="1" applyFill="1" applyBorder="1" applyAlignment="1">
      <alignment horizontal="center" vertical="center"/>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0" fillId="0" borderId="25" xfId="0" applyBorder="1" applyAlignment="1">
      <alignment horizontal="left" vertical="center" wrapText="1"/>
    </xf>
    <xf numFmtId="16" fontId="39" fillId="0" borderId="2" xfId="51" applyNumberFormat="1" applyFont="1" applyFill="1" applyBorder="1" applyAlignment="1">
      <alignment horizontal="center" vertical="center" wrapText="1"/>
    </xf>
    <xf numFmtId="16" fontId="39" fillId="0" borderId="3" xfId="51" applyNumberFormat="1" applyFont="1" applyFill="1" applyBorder="1" applyAlignment="1">
      <alignment horizontal="center" vertical="center" wrapText="1"/>
    </xf>
    <xf numFmtId="16" fontId="39" fillId="0" borderId="5" xfId="51" applyNumberFormat="1" applyFont="1" applyFill="1" applyBorder="1" applyAlignment="1">
      <alignment horizontal="center" vertical="center" wrapText="1"/>
    </xf>
    <xf numFmtId="0" fontId="39" fillId="0" borderId="1" xfId="51" applyFont="1" applyFill="1" applyBorder="1" applyAlignment="1">
      <alignment horizontal="center" vertical="center"/>
    </xf>
    <xf numFmtId="0" fontId="0" fillId="0" borderId="3" xfId="0" applyFill="1" applyBorder="1"/>
    <xf numFmtId="0" fontId="0" fillId="0" borderId="5" xfId="0" applyFill="1" applyBorder="1"/>
    <xf numFmtId="0" fontId="7" fillId="0" borderId="2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5" xfId="0" applyFont="1" applyFill="1" applyBorder="1" applyAlignment="1">
      <alignment horizontal="left" vertical="center" wrapText="1"/>
    </xf>
    <xf numFmtId="0" fontId="39" fillId="0" borderId="29" xfId="51" applyFont="1" applyFill="1" applyBorder="1" applyAlignment="1">
      <alignment vertical="center" wrapText="1"/>
    </xf>
    <xf numFmtId="0" fontId="39" fillId="0" borderId="25" xfId="51" applyFont="1" applyFill="1" applyBorder="1" applyAlignment="1">
      <alignment horizontal="left" vertical="center" wrapText="1"/>
    </xf>
    <xf numFmtId="0" fontId="39" fillId="0" borderId="23" xfId="51" applyFont="1" applyFill="1" applyBorder="1" applyAlignment="1">
      <alignment horizontal="center" vertical="center"/>
    </xf>
    <xf numFmtId="0" fontId="39" fillId="0" borderId="24" xfId="51" applyFont="1" applyFill="1" applyBorder="1" applyAlignment="1">
      <alignment horizontal="center" vertical="center"/>
    </xf>
    <xf numFmtId="0" fontId="39" fillId="0" borderId="25" xfId="51" applyFont="1" applyFill="1" applyBorder="1" applyAlignment="1">
      <alignment horizontal="center" vertical="center"/>
    </xf>
    <xf numFmtId="0" fontId="7" fillId="46" borderId="2" xfId="51" applyFont="1" applyFill="1" applyBorder="1" applyAlignment="1">
      <alignment vertical="center" wrapText="1"/>
    </xf>
    <xf numFmtId="0" fontId="7" fillId="46" borderId="3" xfId="51" applyFont="1" applyFill="1" applyBorder="1" applyAlignment="1">
      <alignment vertical="center" wrapText="1"/>
    </xf>
    <xf numFmtId="0" fontId="7" fillId="46" borderId="5" xfId="51" applyFont="1" applyFill="1" applyBorder="1" applyAlignment="1">
      <alignment vertical="center" wrapText="1"/>
    </xf>
    <xf numFmtId="0" fontId="39" fillId="0" borderId="5" xfId="51" applyFont="1" applyFill="1" applyBorder="1" applyAlignment="1">
      <alignment vertical="top" wrapText="1"/>
    </xf>
    <xf numFmtId="0" fontId="39" fillId="0" borderId="2" xfId="51" applyFont="1" applyFill="1" applyBorder="1" applyAlignment="1">
      <alignment horizontal="left" vertical="top" wrapText="1"/>
    </xf>
    <xf numFmtId="0" fontId="39" fillId="0" borderId="3" xfId="51" applyFont="1" applyFill="1" applyBorder="1" applyAlignment="1">
      <alignment horizontal="left" vertical="top" wrapText="1"/>
    </xf>
    <xf numFmtId="0" fontId="39" fillId="0" borderId="5" xfId="51" applyFont="1" applyFill="1" applyBorder="1" applyAlignment="1">
      <alignment horizontal="left" vertical="top" wrapText="1"/>
    </xf>
    <xf numFmtId="0" fontId="37" fillId="46" borderId="2" xfId="0" applyFont="1" applyFill="1" applyBorder="1" applyAlignment="1">
      <alignment horizontal="left" vertical="center" wrapText="1"/>
    </xf>
    <xf numFmtId="0" fontId="37" fillId="46" borderId="3" xfId="0" applyFont="1" applyFill="1" applyBorder="1" applyAlignment="1">
      <alignment horizontal="left" vertical="center" wrapText="1"/>
    </xf>
    <xf numFmtId="0" fontId="37" fillId="46" borderId="5" xfId="0" applyFont="1" applyFill="1" applyBorder="1" applyAlignment="1">
      <alignment horizontal="left" vertical="center"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center" wrapText="1"/>
    </xf>
    <xf numFmtId="49" fontId="7"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37" fillId="46" borderId="2" xfId="0" applyNumberFormat="1" applyFont="1" applyFill="1" applyBorder="1" applyAlignment="1">
      <alignment horizontal="center" vertical="center" wrapText="1"/>
    </xf>
    <xf numFmtId="49" fontId="37" fillId="46" borderId="3" xfId="0" applyNumberFormat="1" applyFont="1" applyFill="1" applyBorder="1" applyAlignment="1">
      <alignment horizontal="center" vertical="center" wrapText="1"/>
    </xf>
    <xf numFmtId="49" fontId="37" fillId="46" borderId="5" xfId="0" applyNumberFormat="1" applyFont="1" applyFill="1" applyBorder="1" applyAlignment="1">
      <alignment horizontal="center" vertical="center" wrapText="1"/>
    </xf>
    <xf numFmtId="0" fontId="7" fillId="46" borderId="2" xfId="0" applyFont="1" applyFill="1" applyBorder="1" applyAlignment="1">
      <alignment horizontal="left" vertical="center" wrapText="1"/>
    </xf>
    <xf numFmtId="0" fontId="7" fillId="46" borderId="3" xfId="0" applyFont="1" applyFill="1" applyBorder="1" applyAlignment="1">
      <alignment horizontal="left" vertical="center" wrapText="1"/>
    </xf>
    <xf numFmtId="0" fontId="7" fillId="46" borderId="5" xfId="0" applyFont="1" applyFill="1" applyBorder="1" applyAlignment="1">
      <alignment horizontal="left" vertical="center" wrapText="1"/>
    </xf>
    <xf numFmtId="49" fontId="7" fillId="46" borderId="2" xfId="0" applyNumberFormat="1" applyFont="1" applyFill="1" applyBorder="1" applyAlignment="1">
      <alignment horizontal="left" vertical="center" wrapText="1"/>
    </xf>
    <xf numFmtId="49" fontId="7" fillId="46" borderId="3" xfId="0" applyNumberFormat="1" applyFont="1" applyFill="1" applyBorder="1" applyAlignment="1">
      <alignment horizontal="left" vertical="center" wrapText="1"/>
    </xf>
    <xf numFmtId="49" fontId="7" fillId="46" borderId="5" xfId="0" applyNumberFormat="1" applyFont="1" applyFill="1" applyBorder="1" applyAlignment="1">
      <alignment horizontal="left" vertical="center" wrapText="1"/>
    </xf>
    <xf numFmtId="166" fontId="39" fillId="0" borderId="2" xfId="51" applyNumberFormat="1" applyFont="1" applyFill="1" applyBorder="1" applyAlignment="1">
      <alignment horizontal="center" vertical="center" wrapText="1"/>
    </xf>
    <xf numFmtId="166" fontId="39" fillId="0" borderId="3" xfId="51" applyNumberFormat="1" applyFont="1" applyFill="1" applyBorder="1" applyAlignment="1">
      <alignment horizontal="center" vertical="center" wrapText="1"/>
    </xf>
    <xf numFmtId="0" fontId="7" fillId="0" borderId="2" xfId="0" applyFont="1" applyFill="1" applyBorder="1" applyAlignment="1" applyProtection="1">
      <alignment horizontal="left" vertical="center" wrapText="1"/>
      <protection locked="0"/>
    </xf>
    <xf numFmtId="0" fontId="7" fillId="0" borderId="3" xfId="0" applyFont="1" applyFill="1" applyBorder="1" applyAlignment="1" applyProtection="1">
      <alignment horizontal="left" vertical="center" wrapText="1"/>
      <protection locked="0"/>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39" fillId="46" borderId="2" xfId="51" applyFont="1" applyFill="1" applyBorder="1" applyAlignment="1">
      <alignment horizontal="center" vertical="center" wrapText="1"/>
    </xf>
    <xf numFmtId="0" fontId="39" fillId="46" borderId="3" xfId="51" applyFont="1" applyFill="1" applyBorder="1" applyAlignment="1">
      <alignment horizontal="center" vertical="center" wrapText="1"/>
    </xf>
    <xf numFmtId="166" fontId="39" fillId="46" borderId="2" xfId="51" applyNumberFormat="1" applyFont="1" applyFill="1" applyBorder="1" applyAlignment="1">
      <alignment horizontal="center" vertical="center" wrapText="1"/>
    </xf>
    <xf numFmtId="166" fontId="39" fillId="46" borderId="3" xfId="51" applyNumberFormat="1"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0" fontId="39" fillId="46" borderId="2" xfId="51" applyFont="1" applyFill="1" applyBorder="1" applyAlignment="1">
      <alignment vertical="top" wrapText="1"/>
    </xf>
    <xf numFmtId="0" fontId="39" fillId="46" borderId="3" xfId="51" applyFont="1" applyFill="1" applyBorder="1" applyAlignment="1">
      <alignment vertical="top" wrapText="1"/>
    </xf>
    <xf numFmtId="0" fontId="7" fillId="0" borderId="2"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164" fontId="7" fillId="0" borderId="2" xfId="0" applyNumberFormat="1" applyFont="1" applyFill="1" applyBorder="1" applyAlignment="1" applyProtection="1">
      <alignment horizontal="left" vertical="center" wrapText="1"/>
      <protection locked="0"/>
    </xf>
    <xf numFmtId="164" fontId="7" fillId="0" borderId="3" xfId="0" applyNumberFormat="1" applyFont="1" applyFill="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39" fillId="0" borderId="2" xfId="51" applyNumberFormat="1" applyFont="1" applyFill="1" applyBorder="1" applyAlignment="1">
      <alignment horizontal="center" vertical="center" wrapText="1"/>
    </xf>
    <xf numFmtId="0" fontId="39" fillId="0" borderId="3" xfId="51" applyNumberFormat="1" applyFont="1" applyFill="1" applyBorder="1" applyAlignment="1">
      <alignment horizontal="center" vertical="center" wrapText="1"/>
    </xf>
    <xf numFmtId="0" fontId="40" fillId="46" borderId="1" xfId="51" applyFont="1" applyFill="1" applyBorder="1" applyAlignment="1">
      <alignment horizontal="center" vertical="center"/>
    </xf>
    <xf numFmtId="0" fontId="39" fillId="46" borderId="2" xfId="51" applyNumberFormat="1" applyFont="1" applyFill="1" applyBorder="1" applyAlignment="1">
      <alignment horizontal="center" vertical="center" wrapText="1"/>
    </xf>
    <xf numFmtId="0" fontId="39" fillId="46" borderId="3" xfId="51" applyNumberFormat="1" applyFont="1" applyFill="1" applyBorder="1" applyAlignment="1">
      <alignment horizontal="center" vertical="center" wrapText="1"/>
    </xf>
    <xf numFmtId="0" fontId="39" fillId="46" borderId="5" xfId="51" applyNumberFormat="1" applyFont="1" applyFill="1" applyBorder="1" applyAlignment="1">
      <alignment horizontal="center" vertical="center" wrapText="1"/>
    </xf>
    <xf numFmtId="166" fontId="39" fillId="46" borderId="5" xfId="51" applyNumberFormat="1" applyFont="1" applyFill="1" applyBorder="1" applyAlignment="1">
      <alignment horizontal="center" vertical="center" wrapText="1"/>
    </xf>
    <xf numFmtId="0" fontId="7" fillId="0" borderId="5" xfId="0" applyFont="1" applyFill="1" applyBorder="1" applyAlignment="1" applyProtection="1">
      <alignment horizontal="center" vertical="center" wrapText="1"/>
      <protection locked="0"/>
    </xf>
    <xf numFmtId="0" fontId="39" fillId="0" borderId="5" xfId="51" applyNumberFormat="1" applyFont="1" applyFill="1" applyBorder="1" applyAlignment="1">
      <alignment horizontal="center" vertical="center" wrapText="1"/>
    </xf>
    <xf numFmtId="166" fontId="39" fillId="0" borderId="5" xfId="51" applyNumberFormat="1" applyFont="1" applyFill="1" applyBorder="1" applyAlignment="1">
      <alignment horizontal="center" vertical="center" wrapText="1"/>
    </xf>
    <xf numFmtId="0" fontId="6" fillId="0" borderId="0" xfId="0" applyFont="1" applyAlignment="1">
      <alignment horizontal="center" vertical="top"/>
    </xf>
    <xf numFmtId="0" fontId="8"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10" fontId="40" fillId="46" borderId="2" xfId="51" applyNumberFormat="1" applyFont="1" applyFill="1" applyBorder="1" applyAlignment="1">
      <alignment horizontal="center" vertical="center" wrapText="1"/>
    </xf>
    <xf numFmtId="10" fontId="40" fillId="46" borderId="3" xfId="51" applyNumberFormat="1" applyFont="1" applyFill="1" applyBorder="1" applyAlignment="1">
      <alignment horizontal="center" vertical="center" wrapText="1"/>
    </xf>
    <xf numFmtId="10" fontId="40" fillId="46" borderId="5" xfId="51" applyNumberFormat="1" applyFont="1" applyFill="1" applyBorder="1" applyAlignment="1">
      <alignment horizontal="center" vertical="center" wrapText="1"/>
    </xf>
    <xf numFmtId="0" fontId="7" fillId="46" borderId="23" xfId="51" applyFont="1" applyFill="1" applyBorder="1" applyAlignment="1">
      <alignment horizontal="center" vertical="top"/>
    </xf>
    <xf numFmtId="0" fontId="7" fillId="46" borderId="24" xfId="51" applyFont="1" applyFill="1" applyBorder="1" applyAlignment="1">
      <alignment horizontal="center" vertical="top"/>
    </xf>
    <xf numFmtId="0" fontId="39" fillId="46" borderId="2" xfId="51" applyFont="1" applyFill="1" applyBorder="1" applyAlignment="1">
      <alignment horizontal="left" vertical="center" wrapText="1"/>
    </xf>
    <xf numFmtId="0" fontId="39" fillId="46" borderId="3" xfId="51" applyFont="1" applyFill="1" applyBorder="1" applyAlignment="1">
      <alignment horizontal="left" vertical="center" wrapText="1"/>
    </xf>
    <xf numFmtId="1" fontId="39" fillId="46" borderId="2" xfId="51" applyNumberFormat="1" applyFont="1" applyFill="1" applyBorder="1" applyAlignment="1">
      <alignment horizontal="center" vertical="center"/>
    </xf>
    <xf numFmtId="1" fontId="39" fillId="46" borderId="3" xfId="51" applyNumberFormat="1" applyFont="1" applyFill="1" applyBorder="1" applyAlignment="1">
      <alignment horizontal="center" vertical="center"/>
    </xf>
    <xf numFmtId="0" fontId="39" fillId="46" borderId="5" xfId="51" applyFont="1" applyFill="1" applyBorder="1" applyAlignment="1">
      <alignment horizontal="center" vertical="center" wrapText="1"/>
    </xf>
    <xf numFmtId="0" fontId="40" fillId="46" borderId="2" xfId="51" applyNumberFormat="1" applyFont="1" applyFill="1" applyBorder="1" applyAlignment="1">
      <alignment horizontal="center" vertical="center" wrapText="1"/>
    </xf>
    <xf numFmtId="0" fontId="40" fillId="46" borderId="3" xfId="51" applyNumberFormat="1" applyFont="1" applyFill="1" applyBorder="1" applyAlignment="1">
      <alignment horizontal="center" vertical="center" wrapText="1"/>
    </xf>
    <xf numFmtId="0" fontId="40" fillId="46" borderId="5" xfId="51" applyNumberFormat="1" applyFont="1" applyFill="1" applyBorder="1" applyAlignment="1">
      <alignment horizontal="center" vertical="center" wrapText="1"/>
    </xf>
    <xf numFmtId="1" fontId="40" fillId="46" borderId="2" xfId="51" applyNumberFormat="1" applyFont="1" applyFill="1" applyBorder="1" applyAlignment="1">
      <alignment horizontal="center" vertical="center" wrapText="1"/>
    </xf>
    <xf numFmtId="0" fontId="39" fillId="46" borderId="1" xfId="51" applyFont="1" applyFill="1" applyBorder="1" applyAlignment="1">
      <alignment vertical="center" wrapText="1"/>
    </xf>
    <xf numFmtId="16" fontId="7" fillId="0" borderId="2" xfId="0" applyNumberFormat="1" applyFont="1" applyFill="1" applyBorder="1" applyAlignment="1" applyProtection="1">
      <alignment horizontal="center" vertical="center" wrapText="1"/>
      <protection locked="0"/>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1" fillId="0" borderId="23" xfId="1" applyFont="1" applyBorder="1" applyAlignment="1">
      <alignment horizontal="left" vertical="center" wrapText="1"/>
    </xf>
    <xf numFmtId="0" fontId="21" fillId="0" borderId="11" xfId="1" applyFont="1" applyBorder="1" applyAlignment="1">
      <alignment horizontal="left" vertical="center" wrapText="1"/>
    </xf>
    <xf numFmtId="0" fontId="21" fillId="0" borderId="8" xfId="1" applyFont="1" applyBorder="1" applyAlignment="1">
      <alignment horizontal="left" vertical="center" wrapText="1"/>
    </xf>
    <xf numFmtId="0" fontId="21" fillId="0" borderId="24" xfId="1" applyFont="1" applyBorder="1" applyAlignment="1">
      <alignment horizontal="left" vertical="center" wrapText="1"/>
    </xf>
    <xf numFmtId="0" fontId="21" fillId="0" borderId="0" xfId="1" applyFont="1" applyBorder="1" applyAlignment="1">
      <alignment horizontal="left" vertical="center" wrapText="1"/>
    </xf>
    <xf numFmtId="0" fontId="21" fillId="0" borderId="27" xfId="1" applyFont="1" applyBorder="1" applyAlignment="1">
      <alignment horizontal="left" vertical="center" wrapText="1"/>
    </xf>
    <xf numFmtId="0" fontId="21" fillId="0" borderId="37" xfId="1" applyFont="1" applyBorder="1" applyAlignment="1">
      <alignment horizontal="left" vertical="center" wrapText="1"/>
    </xf>
    <xf numFmtId="0" fontId="21" fillId="0" borderId="36" xfId="1" applyFont="1" applyBorder="1" applyAlignment="1">
      <alignment horizontal="left" vertical="center" wrapText="1"/>
    </xf>
    <xf numFmtId="0" fontId="21" fillId="0" borderId="35" xfId="1" applyFont="1" applyBorder="1" applyAlignment="1">
      <alignment horizontal="left" vertical="center" wrapText="1"/>
    </xf>
    <xf numFmtId="0" fontId="2" fillId="3" borderId="1" xfId="0" applyFont="1" applyFill="1" applyBorder="1" applyAlignment="1">
      <alignment horizontal="center" vertical="center" wrapText="1"/>
    </xf>
    <xf numFmtId="4" fontId="2" fillId="3" borderId="2" xfId="0" applyNumberFormat="1" applyFont="1" applyFill="1" applyBorder="1" applyAlignment="1">
      <alignment horizontal="left" vertical="center" wrapText="1"/>
    </xf>
    <xf numFmtId="4" fontId="2" fillId="3" borderId="3" xfId="0" applyNumberFormat="1" applyFont="1" applyFill="1" applyBorder="1" applyAlignment="1">
      <alignment horizontal="left" vertical="center" wrapText="1"/>
    </xf>
    <xf numFmtId="4" fontId="2" fillId="3" borderId="34" xfId="0" applyNumberFormat="1" applyFont="1" applyFill="1" applyBorder="1" applyAlignment="1">
      <alignment horizontal="left"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34" xfId="0" applyFont="1" applyFill="1" applyBorder="1" applyAlignment="1">
      <alignment horizontal="center" vertical="center"/>
    </xf>
    <xf numFmtId="0" fontId="59" fillId="3" borderId="1" xfId="0" applyFont="1" applyFill="1" applyBorder="1" applyAlignment="1">
      <alignment horizontal="center" vertical="center"/>
    </xf>
    <xf numFmtId="4" fontId="59" fillId="3" borderId="1" xfId="0" applyNumberFormat="1" applyFont="1" applyFill="1" applyBorder="1" applyAlignment="1">
      <alignment horizontal="center" vertical="center" wrapText="1"/>
    </xf>
    <xf numFmtId="9" fontId="2" fillId="3" borderId="1" xfId="64"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34" xfId="0" applyFont="1" applyFill="1" applyBorder="1" applyAlignment="1">
      <alignment horizontal="left" vertical="center" wrapText="1"/>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4" xfId="0" applyFont="1" applyFill="1" applyBorder="1" applyAlignment="1">
      <alignment horizontal="left" vertical="top" wrapText="1"/>
    </xf>
    <xf numFmtId="0" fontId="2" fillId="3" borderId="2" xfId="0" applyFont="1" applyFill="1" applyBorder="1" applyAlignment="1">
      <alignment horizontal="center" vertical="center"/>
    </xf>
    <xf numFmtId="4" fontId="2" fillId="3" borderId="2" xfId="0" applyNumberFormat="1" applyFont="1" applyFill="1" applyBorder="1" applyAlignment="1">
      <alignment horizontal="center" vertical="center" wrapText="1"/>
    </xf>
    <xf numFmtId="4" fontId="2" fillId="3" borderId="3" xfId="0" applyNumberFormat="1" applyFont="1" applyFill="1" applyBorder="1" applyAlignment="1">
      <alignment horizontal="center" vertical="center" wrapText="1"/>
    </xf>
    <xf numFmtId="4" fontId="2" fillId="3" borderId="34" xfId="0" applyNumberFormat="1"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4" xfId="0" applyFont="1" applyFill="1" applyBorder="1" applyAlignment="1">
      <alignment horizontal="left" vertical="top" wrapText="1"/>
    </xf>
    <xf numFmtId="0" fontId="21" fillId="46" borderId="23" xfId="1" applyFont="1" applyFill="1" applyBorder="1" applyAlignment="1">
      <alignment horizontal="left" vertical="center" wrapText="1"/>
    </xf>
    <xf numFmtId="0" fontId="0" fillId="46" borderId="11" xfId="0" applyFill="1" applyBorder="1" applyAlignment="1">
      <alignment horizontal="left" vertical="center" wrapText="1"/>
    </xf>
    <xf numFmtId="0" fontId="0" fillId="46" borderId="8" xfId="0" applyFill="1" applyBorder="1" applyAlignment="1">
      <alignment horizontal="left" vertical="center" wrapText="1"/>
    </xf>
    <xf numFmtId="0" fontId="0" fillId="46" borderId="24" xfId="0" applyFill="1" applyBorder="1" applyAlignment="1">
      <alignment horizontal="left" vertical="center" wrapText="1"/>
    </xf>
    <xf numFmtId="0" fontId="0" fillId="46" borderId="0" xfId="0" applyFill="1" applyAlignment="1">
      <alignment horizontal="left" vertical="center" wrapText="1"/>
    </xf>
    <xf numFmtId="0" fontId="0" fillId="46" borderId="27" xfId="0" applyFill="1" applyBorder="1" applyAlignment="1">
      <alignment horizontal="left" vertical="center" wrapText="1"/>
    </xf>
    <xf numFmtId="0" fontId="0" fillId="46" borderId="37" xfId="0" applyFill="1" applyBorder="1" applyAlignment="1">
      <alignment horizontal="left" vertical="center" wrapText="1"/>
    </xf>
    <xf numFmtId="0" fontId="0" fillId="46" borderId="36" xfId="0" applyFill="1" applyBorder="1" applyAlignment="1">
      <alignment horizontal="left" vertical="center" wrapText="1"/>
    </xf>
    <xf numFmtId="0" fontId="0" fillId="46" borderId="35" xfId="0" applyFill="1" applyBorder="1" applyAlignment="1">
      <alignment horizontal="left" vertical="center" wrapText="1"/>
    </xf>
    <xf numFmtId="164" fontId="22" fillId="46" borderId="2" xfId="1" applyNumberFormat="1" applyFont="1" applyFill="1" applyBorder="1" applyAlignment="1">
      <alignment horizontal="center" vertical="center"/>
    </xf>
    <xf numFmtId="164" fontId="22" fillId="46" borderId="3" xfId="1" applyNumberFormat="1" applyFont="1" applyFill="1" applyBorder="1" applyAlignment="1">
      <alignment horizontal="center" vertical="center"/>
    </xf>
    <xf numFmtId="164" fontId="22" fillId="46" borderId="34" xfId="1" applyNumberFormat="1" applyFont="1" applyFill="1" applyBorder="1" applyAlignment="1">
      <alignment horizontal="center" vertical="center"/>
    </xf>
    <xf numFmtId="0" fontId="22" fillId="46" borderId="2" xfId="1" applyFont="1" applyFill="1" applyBorder="1" applyAlignment="1">
      <alignment horizontal="center" vertical="center"/>
    </xf>
    <xf numFmtId="0" fontId="22" fillId="46" borderId="3" xfId="1" applyFont="1" applyFill="1" applyBorder="1" applyAlignment="1">
      <alignment horizontal="center" vertical="center"/>
    </xf>
    <xf numFmtId="0" fontId="22" fillId="46" borderId="34" xfId="1" applyFont="1" applyFill="1" applyBorder="1" applyAlignment="1">
      <alignment horizontal="center" vertical="center"/>
    </xf>
    <xf numFmtId="0" fontId="22" fillId="45" borderId="6" xfId="1" applyFont="1" applyFill="1" applyBorder="1" applyAlignment="1">
      <alignment horizontal="left" vertical="center"/>
    </xf>
    <xf numFmtId="0" fontId="0" fillId="0" borderId="7" xfId="0" applyBorder="1" applyAlignment="1">
      <alignment horizontal="left" vertical="center"/>
    </xf>
    <xf numFmtId="0" fontId="0" fillId="0" borderId="4" xfId="0" applyBorder="1" applyAlignment="1">
      <alignment horizontal="lef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4" xfId="0" applyFont="1" applyFill="1" applyBorder="1" applyAlignment="1">
      <alignment horizontal="center" vertical="center" wrapText="1"/>
    </xf>
    <xf numFmtId="4" fontId="2" fillId="3" borderId="3" xfId="0" applyNumberFormat="1" applyFont="1" applyFill="1" applyBorder="1" applyAlignment="1">
      <alignment horizontal="center" vertical="center"/>
    </xf>
    <xf numFmtId="4" fontId="2" fillId="3" borderId="34" xfId="0" applyNumberFormat="1" applyFont="1" applyFill="1" applyBorder="1" applyAlignment="1">
      <alignment horizontal="center" vertical="center"/>
    </xf>
    <xf numFmtId="9" fontId="2" fillId="3" borderId="1" xfId="0" applyNumberFormat="1" applyFont="1" applyFill="1" applyBorder="1" applyAlignment="1">
      <alignment horizontal="center" vertical="center"/>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34" xfId="0" applyFont="1" applyFill="1" applyBorder="1" applyAlignment="1">
      <alignment horizontal="left" vertical="center" wrapText="1"/>
    </xf>
    <xf numFmtId="0" fontId="2" fillId="3" borderId="1" xfId="0" applyFont="1" applyFill="1" applyBorder="1" applyAlignment="1">
      <alignment horizontal="left" vertical="top" wrapText="1"/>
    </xf>
    <xf numFmtId="0" fontId="2" fillId="3" borderId="1" xfId="0" applyFont="1" applyFill="1" applyBorder="1" applyAlignment="1">
      <alignment horizontal="center" vertical="top" wrapText="1"/>
    </xf>
    <xf numFmtId="4"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0" fontId="22" fillId="0" borderId="1"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22" fillId="3" borderId="3" xfId="0" applyFont="1" applyFill="1" applyBorder="1" applyAlignment="1">
      <alignment horizontal="left" vertical="center" wrapText="1"/>
    </xf>
    <xf numFmtId="0" fontId="22" fillId="3" borderId="34" xfId="0" applyFont="1" applyFill="1" applyBorder="1" applyAlignment="1">
      <alignment horizontal="left" vertical="center" wrapText="1"/>
    </xf>
    <xf numFmtId="0" fontId="59" fillId="3" borderId="1" xfId="0" applyFont="1" applyFill="1" applyBorder="1" applyAlignment="1">
      <alignment horizontal="center" vertical="center" wrapText="1"/>
    </xf>
    <xf numFmtId="49" fontId="2" fillId="3" borderId="2" xfId="0" applyNumberFormat="1" applyFont="1" applyFill="1" applyBorder="1" applyAlignment="1">
      <alignment horizontal="left" vertical="center" wrapText="1"/>
    </xf>
    <xf numFmtId="49" fontId="2" fillId="3" borderId="3" xfId="0" applyNumberFormat="1" applyFont="1" applyFill="1" applyBorder="1" applyAlignment="1">
      <alignment horizontal="left" vertical="center" wrapText="1"/>
    </xf>
    <xf numFmtId="49" fontId="2" fillId="3" borderId="34" xfId="0" applyNumberFormat="1" applyFont="1" applyFill="1" applyBorder="1" applyAlignment="1">
      <alignment horizontal="left" vertical="center" wrapText="1"/>
    </xf>
    <xf numFmtId="0" fontId="22" fillId="3" borderId="2" xfId="0" applyFont="1" applyFill="1" applyBorder="1" applyAlignment="1">
      <alignment horizontal="center" vertical="top" wrapText="1"/>
    </xf>
    <xf numFmtId="0" fontId="22" fillId="3" borderId="3" xfId="0" applyFont="1" applyFill="1" applyBorder="1" applyAlignment="1">
      <alignment horizontal="center" vertical="top" wrapText="1"/>
    </xf>
    <xf numFmtId="0" fontId="22" fillId="3" borderId="34" xfId="0" applyFont="1" applyFill="1" applyBorder="1" applyAlignment="1">
      <alignment horizontal="center" vertical="top" wrapText="1"/>
    </xf>
    <xf numFmtId="4" fontId="22" fillId="3"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9" fontId="22" fillId="3" borderId="1" xfId="0" applyNumberFormat="1" applyFont="1" applyFill="1" applyBorder="1" applyAlignment="1">
      <alignment horizontal="center" vertical="center" wrapText="1"/>
    </xf>
    <xf numFmtId="9" fontId="22" fillId="3" borderId="2" xfId="0" applyNumberFormat="1" applyFont="1" applyFill="1" applyBorder="1" applyAlignment="1">
      <alignment horizontal="center" vertical="center"/>
    </xf>
    <xf numFmtId="9" fontId="22" fillId="3" borderId="3" xfId="0" applyNumberFormat="1" applyFont="1" applyFill="1" applyBorder="1" applyAlignment="1">
      <alignment horizontal="center" vertical="center"/>
    </xf>
    <xf numFmtId="9" fontId="22" fillId="3" borderId="41" xfId="0" applyNumberFormat="1" applyFont="1" applyFill="1" applyBorder="1" applyAlignment="1">
      <alignment horizontal="center" vertical="center"/>
    </xf>
    <xf numFmtId="0" fontId="22" fillId="3" borderId="39" xfId="0" applyFont="1" applyFill="1" applyBorder="1" applyAlignment="1">
      <alignment horizontal="left" vertical="top" wrapText="1"/>
    </xf>
    <xf numFmtId="0" fontId="22" fillId="3" borderId="30" xfId="0" applyFont="1" applyFill="1" applyBorder="1" applyAlignment="1">
      <alignment horizontal="left" vertical="top" wrapText="1"/>
    </xf>
    <xf numFmtId="0" fontId="22" fillId="3" borderId="43" xfId="0" applyFont="1" applyFill="1" applyBorder="1" applyAlignment="1">
      <alignment horizontal="left" vertical="top" wrapText="1"/>
    </xf>
    <xf numFmtId="0" fontId="21" fillId="46" borderId="24" xfId="1" applyFont="1" applyFill="1" applyBorder="1" applyAlignment="1">
      <alignment horizontal="left" vertical="center" wrapText="1"/>
    </xf>
    <xf numFmtId="0" fontId="0" fillId="46" borderId="0" xfId="0" applyFill="1" applyBorder="1" applyAlignment="1">
      <alignment horizontal="left" vertical="center" wrapText="1"/>
    </xf>
    <xf numFmtId="9" fontId="22" fillId="46" borderId="1" xfId="56" applyFont="1" applyFill="1" applyBorder="1" applyAlignment="1">
      <alignment horizontal="center" vertical="center"/>
    </xf>
    <xf numFmtId="0" fontId="22" fillId="46" borderId="1" xfId="1" applyFont="1" applyFill="1" applyBorder="1" applyAlignment="1">
      <alignment horizontal="center" vertical="center"/>
    </xf>
    <xf numFmtId="49" fontId="22" fillId="3" borderId="38" xfId="0" applyNumberFormat="1" applyFont="1" applyFill="1" applyBorder="1" applyAlignment="1">
      <alignment horizontal="center" vertical="center" wrapText="1"/>
    </xf>
    <xf numFmtId="49" fontId="22" fillId="3" borderId="31" xfId="0" applyNumberFormat="1" applyFont="1" applyFill="1" applyBorder="1" applyAlignment="1">
      <alignment horizontal="center" vertical="center" wrapText="1"/>
    </xf>
    <xf numFmtId="49" fontId="22" fillId="3" borderId="40" xfId="0" applyNumberFormat="1" applyFont="1" applyFill="1" applyBorder="1" applyAlignment="1">
      <alignment horizontal="center" vertical="center" wrapText="1"/>
    </xf>
    <xf numFmtId="0" fontId="22" fillId="3" borderId="2" xfId="0" applyNumberFormat="1" applyFont="1" applyFill="1" applyBorder="1" applyAlignment="1">
      <alignment horizontal="left" vertical="center" wrapText="1"/>
    </xf>
    <xf numFmtId="0" fontId="22" fillId="3" borderId="3" xfId="0" applyNumberFormat="1" applyFont="1" applyFill="1" applyBorder="1" applyAlignment="1">
      <alignment horizontal="left" vertical="center" wrapText="1"/>
    </xf>
    <xf numFmtId="0" fontId="22" fillId="3" borderId="41" xfId="0" applyNumberFormat="1" applyFont="1" applyFill="1" applyBorder="1" applyAlignment="1">
      <alignment horizontal="left" vertical="center" wrapText="1"/>
    </xf>
    <xf numFmtId="0" fontId="22" fillId="3" borderId="2" xfId="0" applyFont="1" applyFill="1" applyBorder="1" applyAlignment="1">
      <alignment horizontal="center" vertical="center" wrapText="1"/>
    </xf>
    <xf numFmtId="0" fontId="22" fillId="3" borderId="3" xfId="0" applyFont="1" applyFill="1" applyBorder="1" applyAlignment="1">
      <alignment horizontal="center" vertical="center" wrapText="1"/>
    </xf>
    <xf numFmtId="0" fontId="22" fillId="3" borderId="41" xfId="0" applyFont="1" applyFill="1" applyBorder="1" applyAlignment="1">
      <alignment horizontal="center" vertical="center" wrapText="1"/>
    </xf>
    <xf numFmtId="167" fontId="22" fillId="3" borderId="2" xfId="0" applyNumberFormat="1" applyFont="1" applyFill="1" applyBorder="1" applyAlignment="1">
      <alignment horizontal="center" vertical="center" wrapText="1"/>
    </xf>
    <xf numFmtId="167" fontId="22" fillId="3" borderId="3" xfId="0" applyNumberFormat="1" applyFont="1" applyFill="1" applyBorder="1" applyAlignment="1">
      <alignment horizontal="center" vertical="center" wrapText="1"/>
    </xf>
    <xf numFmtId="167" fontId="22" fillId="3" borderId="41" xfId="0" applyNumberFormat="1" applyFont="1" applyFill="1" applyBorder="1" applyAlignment="1">
      <alignment horizontal="center" vertical="center" wrapText="1"/>
    </xf>
    <xf numFmtId="166" fontId="21" fillId="3" borderId="2" xfId="0" applyNumberFormat="1" applyFont="1" applyFill="1" applyBorder="1" applyAlignment="1">
      <alignment horizontal="center" vertical="center"/>
    </xf>
    <xf numFmtId="166" fontId="21" fillId="3" borderId="3" xfId="0" applyNumberFormat="1" applyFont="1" applyFill="1" applyBorder="1" applyAlignment="1">
      <alignment horizontal="center" vertical="center"/>
    </xf>
    <xf numFmtId="166" fontId="21" fillId="3" borderId="41" xfId="0" applyNumberFormat="1" applyFont="1" applyFill="1" applyBorder="1" applyAlignment="1">
      <alignment horizontal="center" vertical="center"/>
    </xf>
    <xf numFmtId="9" fontId="22" fillId="3" borderId="34" xfId="0" applyNumberFormat="1" applyFont="1" applyFill="1" applyBorder="1" applyAlignment="1">
      <alignment horizontal="center" vertical="center"/>
    </xf>
    <xf numFmtId="0" fontId="22" fillId="3" borderId="32" xfId="0" applyFont="1" applyFill="1" applyBorder="1" applyAlignment="1">
      <alignment horizontal="left" vertical="top" wrapText="1"/>
    </xf>
    <xf numFmtId="49" fontId="22" fillId="3" borderId="33" xfId="0" applyNumberFormat="1" applyFont="1" applyFill="1" applyBorder="1" applyAlignment="1">
      <alignment horizontal="center" vertical="center" wrapText="1"/>
    </xf>
    <xf numFmtId="0" fontId="22" fillId="3" borderId="34" xfId="0" applyNumberFormat="1" applyFont="1" applyFill="1" applyBorder="1" applyAlignment="1">
      <alignment horizontal="left" vertical="center" wrapText="1"/>
    </xf>
    <xf numFmtId="0" fontId="22" fillId="3" borderId="34" xfId="0" applyFont="1" applyFill="1" applyBorder="1" applyAlignment="1">
      <alignment horizontal="center" vertical="center" wrapText="1"/>
    </xf>
    <xf numFmtId="167" fontId="22" fillId="3" borderId="34" xfId="0" applyNumberFormat="1" applyFont="1" applyFill="1" applyBorder="1" applyAlignment="1">
      <alignment horizontal="center" vertical="center" wrapText="1"/>
    </xf>
    <xf numFmtId="166" fontId="21" fillId="3" borderId="34" xfId="0" applyNumberFormat="1" applyFont="1" applyFill="1" applyBorder="1" applyAlignment="1">
      <alignment horizontal="center" vertical="center"/>
    </xf>
    <xf numFmtId="0" fontId="22" fillId="3" borderId="39" xfId="0" applyFont="1" applyFill="1" applyBorder="1" applyAlignment="1">
      <alignment horizontal="left" vertical="center" wrapText="1"/>
    </xf>
    <xf numFmtId="0" fontId="22" fillId="3" borderId="30" xfId="0" applyFont="1" applyFill="1" applyBorder="1" applyAlignment="1">
      <alignment horizontal="left" vertical="center" wrapText="1"/>
    </xf>
    <xf numFmtId="0" fontId="22" fillId="3" borderId="32" xfId="0" applyFont="1" applyFill="1" applyBorder="1" applyAlignment="1">
      <alignment horizontal="left" vertical="center" wrapText="1"/>
    </xf>
    <xf numFmtId="0" fontId="22" fillId="3" borderId="2" xfId="0" quotePrefix="1" applyNumberFormat="1" applyFont="1" applyFill="1" applyBorder="1" applyAlignment="1">
      <alignment horizontal="left" vertical="top" wrapText="1"/>
    </xf>
    <xf numFmtId="0" fontId="22" fillId="3" borderId="34" xfId="0" quotePrefix="1" applyNumberFormat="1" applyFont="1" applyFill="1" applyBorder="1" applyAlignment="1">
      <alignment horizontal="left" vertical="top" wrapText="1"/>
    </xf>
    <xf numFmtId="164" fontId="22" fillId="3" borderId="2" xfId="0" applyNumberFormat="1" applyFont="1" applyFill="1" applyBorder="1" applyAlignment="1">
      <alignment horizontal="center" vertical="center" wrapText="1"/>
    </xf>
    <xf numFmtId="164" fontId="22" fillId="3" borderId="34" xfId="0" applyNumberFormat="1" applyFont="1" applyFill="1" applyBorder="1" applyAlignment="1">
      <alignment horizontal="center" vertical="center" wrapText="1"/>
    </xf>
    <xf numFmtId="9" fontId="22" fillId="3" borderId="2" xfId="64" applyFont="1" applyFill="1" applyBorder="1" applyAlignment="1">
      <alignment horizontal="center" vertical="center"/>
    </xf>
    <xf numFmtId="9" fontId="22" fillId="3" borderId="3" xfId="64" applyFont="1" applyFill="1" applyBorder="1" applyAlignment="1">
      <alignment horizontal="center" vertical="center"/>
    </xf>
    <xf numFmtId="9" fontId="22" fillId="3" borderId="34" xfId="64" applyFont="1" applyFill="1" applyBorder="1" applyAlignment="1">
      <alignment horizontal="center" vertical="center"/>
    </xf>
    <xf numFmtId="0" fontId="22" fillId="3" borderId="1" xfId="1" applyFont="1" applyFill="1" applyBorder="1" applyAlignment="1">
      <alignment vertical="top" wrapText="1"/>
    </xf>
    <xf numFmtId="164" fontId="22" fillId="3" borderId="2" xfId="0" applyNumberFormat="1" applyFont="1" applyFill="1" applyBorder="1" applyAlignment="1">
      <alignment horizontal="center" vertical="top" wrapText="1"/>
    </xf>
    <xf numFmtId="164" fontId="22" fillId="3" borderId="3" xfId="0" applyNumberFormat="1" applyFont="1" applyFill="1" applyBorder="1" applyAlignment="1">
      <alignment horizontal="center" vertical="center" wrapText="1"/>
    </xf>
    <xf numFmtId="0" fontId="22" fillId="3" borderId="2" xfId="0" applyFont="1" applyFill="1" applyBorder="1" applyAlignment="1">
      <alignment horizontal="left" vertical="top" wrapText="1"/>
    </xf>
    <xf numFmtId="0" fontId="22" fillId="3" borderId="3" xfId="0" applyFont="1" applyFill="1" applyBorder="1" applyAlignment="1">
      <alignment horizontal="left" vertical="top" wrapText="1"/>
    </xf>
    <xf numFmtId="0" fontId="0" fillId="3" borderId="34" xfId="0" applyFill="1" applyBorder="1" applyAlignment="1">
      <alignment horizontal="left" vertical="top" wrapText="1"/>
    </xf>
    <xf numFmtId="0" fontId="22" fillId="3" borderId="2" xfId="0" applyFont="1" applyFill="1" applyBorder="1" applyAlignment="1">
      <alignment vertical="center" wrapText="1"/>
    </xf>
    <xf numFmtId="0" fontId="22" fillId="3" borderId="34" xfId="0" applyFont="1" applyFill="1" applyBorder="1" applyAlignment="1">
      <alignment vertical="center" wrapText="1"/>
    </xf>
    <xf numFmtId="164" fontId="22" fillId="3" borderId="1" xfId="0" applyNumberFormat="1" applyFont="1" applyFill="1" applyBorder="1" applyAlignment="1">
      <alignment horizontal="center" vertical="center" wrapText="1"/>
    </xf>
    <xf numFmtId="0" fontId="0" fillId="3" borderId="34" xfId="0" applyFill="1" applyBorder="1" applyAlignment="1">
      <alignment horizontal="center" vertical="center" wrapText="1"/>
    </xf>
    <xf numFmtId="0" fontId="22" fillId="3" borderId="3" xfId="0" applyFont="1" applyFill="1" applyBorder="1" applyAlignment="1">
      <alignment vertical="center" wrapText="1"/>
    </xf>
    <xf numFmtId="0" fontId="0" fillId="3" borderId="34" xfId="0" applyFill="1" applyBorder="1" applyAlignment="1">
      <alignment vertical="center" wrapText="1"/>
    </xf>
    <xf numFmtId="0" fontId="0" fillId="3" borderId="34" xfId="0" applyFill="1" applyBorder="1" applyAlignment="1">
      <alignment horizontal="center" vertical="top" wrapText="1"/>
    </xf>
    <xf numFmtId="0" fontId="0" fillId="3" borderId="34" xfId="0" applyFill="1" applyBorder="1" applyAlignment="1">
      <alignment horizontal="center" vertical="center"/>
    </xf>
    <xf numFmtId="0" fontId="22" fillId="3" borderId="2" xfId="1" applyFont="1" applyFill="1" applyBorder="1" applyAlignment="1">
      <alignment horizontal="left" vertical="top" wrapText="1"/>
    </xf>
    <xf numFmtId="0" fontId="22" fillId="3" borderId="3" xfId="1" applyFont="1" applyFill="1" applyBorder="1" applyAlignment="1">
      <alignment horizontal="left" vertical="top" wrapText="1"/>
    </xf>
    <xf numFmtId="0" fontId="22" fillId="3" borderId="34" xfId="1" applyFont="1" applyFill="1" applyBorder="1" applyAlignment="1">
      <alignment horizontal="left" vertical="top" wrapText="1"/>
    </xf>
    <xf numFmtId="0" fontId="22" fillId="3" borderId="2" xfId="1" applyFont="1" applyFill="1" applyBorder="1" applyAlignment="1">
      <alignment horizontal="center" vertical="center" wrapText="1"/>
    </xf>
    <xf numFmtId="0" fontId="22" fillId="3" borderId="34" xfId="1" applyFont="1" applyFill="1" applyBorder="1" applyAlignment="1">
      <alignment horizontal="center" vertical="center" wrapText="1"/>
    </xf>
    <xf numFmtId="0" fontId="22" fillId="3" borderId="1" xfId="1" applyFont="1" applyFill="1" applyBorder="1" applyAlignment="1">
      <alignment horizontal="center" vertical="center" wrapText="1"/>
    </xf>
    <xf numFmtId="0" fontId="22" fillId="3" borderId="2" xfId="1" applyFont="1" applyFill="1" applyBorder="1" applyAlignment="1">
      <alignment horizontal="center" vertical="top" wrapText="1"/>
    </xf>
    <xf numFmtId="0" fontId="22" fillId="3" borderId="34" xfId="1" applyFont="1" applyFill="1" applyBorder="1" applyAlignment="1">
      <alignment horizontal="center" vertical="top" wrapText="1"/>
    </xf>
    <xf numFmtId="164" fontId="22" fillId="3" borderId="2" xfId="1" applyNumberFormat="1" applyFont="1" applyFill="1" applyBorder="1" applyAlignment="1">
      <alignment horizontal="center" vertical="top" wrapText="1"/>
    </xf>
    <xf numFmtId="164" fontId="22" fillId="3" borderId="34" xfId="1" applyNumberFormat="1" applyFont="1" applyFill="1" applyBorder="1" applyAlignment="1">
      <alignment horizontal="center" vertical="top" wrapText="1"/>
    </xf>
    <xf numFmtId="0" fontId="22" fillId="3" borderId="2" xfId="1" applyFont="1" applyFill="1" applyBorder="1" applyAlignment="1">
      <alignment horizontal="left" vertical="center" wrapText="1"/>
    </xf>
    <xf numFmtId="0" fontId="22" fillId="3" borderId="34" xfId="1" applyFont="1" applyFill="1" applyBorder="1" applyAlignment="1">
      <alignment horizontal="left" vertical="center" wrapText="1"/>
    </xf>
    <xf numFmtId="0" fontId="22" fillId="3" borderId="3" xfId="1" applyFont="1" applyFill="1" applyBorder="1" applyAlignment="1">
      <alignment horizontal="center" vertical="center" wrapText="1"/>
    </xf>
    <xf numFmtId="0" fontId="22" fillId="3" borderId="3" xfId="1" applyFont="1" applyFill="1" applyBorder="1" applyAlignment="1">
      <alignment horizontal="center" vertical="top" wrapText="1"/>
    </xf>
    <xf numFmtId="164" fontId="22" fillId="3" borderId="3" xfId="1" applyNumberFormat="1" applyFont="1" applyFill="1" applyBorder="1" applyAlignment="1">
      <alignment horizontal="center" vertical="top" wrapText="1"/>
    </xf>
    <xf numFmtId="0" fontId="22" fillId="3" borderId="3" xfId="1" applyFont="1" applyFill="1" applyBorder="1" applyAlignment="1">
      <alignment horizontal="left" vertical="center" wrapText="1"/>
    </xf>
    <xf numFmtId="0" fontId="22" fillId="3" borderId="1" xfId="1" applyFont="1" applyFill="1" applyBorder="1" applyAlignment="1">
      <alignment horizontal="left" vertical="center" wrapText="1"/>
    </xf>
    <xf numFmtId="9" fontId="22" fillId="3" borderId="2" xfId="0" applyNumberFormat="1" applyFont="1" applyFill="1" applyBorder="1" applyAlignment="1">
      <alignment horizontal="left" vertical="center" wrapText="1"/>
    </xf>
    <xf numFmtId="9" fontId="22" fillId="3" borderId="3" xfId="0" applyNumberFormat="1" applyFont="1" applyFill="1" applyBorder="1" applyAlignment="1">
      <alignment horizontal="left" vertical="center" wrapText="1"/>
    </xf>
    <xf numFmtId="9" fontId="22" fillId="3" borderId="34" xfId="0" applyNumberFormat="1" applyFont="1" applyFill="1" applyBorder="1" applyAlignment="1">
      <alignment horizontal="left" vertical="center" wrapText="1"/>
    </xf>
    <xf numFmtId="9" fontId="22" fillId="3" borderId="2" xfId="0" applyNumberFormat="1" applyFont="1" applyFill="1" applyBorder="1" applyAlignment="1">
      <alignment horizontal="left" vertical="top" wrapText="1"/>
    </xf>
    <xf numFmtId="9" fontId="22" fillId="3" borderId="3" xfId="0" applyNumberFormat="1" applyFont="1" applyFill="1" applyBorder="1" applyAlignment="1">
      <alignment horizontal="left" vertical="top" wrapText="1"/>
    </xf>
    <xf numFmtId="9" fontId="22" fillId="3" borderId="34" xfId="0" applyNumberFormat="1" applyFont="1" applyFill="1" applyBorder="1" applyAlignment="1">
      <alignment horizontal="left" vertical="top" wrapText="1"/>
    </xf>
    <xf numFmtId="0" fontId="22" fillId="47" borderId="1" xfId="1" applyFont="1" applyFill="1" applyBorder="1" applyAlignment="1">
      <alignment horizontal="left" vertical="center" wrapText="1"/>
    </xf>
    <xf numFmtId="164" fontId="22" fillId="3" borderId="2" xfId="1" applyNumberFormat="1" applyFont="1" applyFill="1" applyBorder="1" applyAlignment="1">
      <alignment horizontal="center" vertical="center" wrapText="1"/>
    </xf>
    <xf numFmtId="164" fontId="22" fillId="3" borderId="3" xfId="1" applyNumberFormat="1" applyFont="1" applyFill="1" applyBorder="1" applyAlignment="1">
      <alignment horizontal="center" vertical="center" wrapText="1"/>
    </xf>
    <xf numFmtId="164" fontId="22" fillId="3" borderId="34" xfId="1" applyNumberFormat="1" applyFont="1" applyFill="1" applyBorder="1" applyAlignment="1">
      <alignment horizontal="center" vertical="center" wrapText="1"/>
    </xf>
    <xf numFmtId="9" fontId="22" fillId="3" borderId="1" xfId="56" applyFont="1" applyFill="1" applyBorder="1" applyAlignment="1">
      <alignment horizontal="center" vertical="center" wrapText="1"/>
    </xf>
    <xf numFmtId="4" fontId="22" fillId="3" borderId="2" xfId="0" applyNumberFormat="1" applyFont="1" applyFill="1" applyBorder="1" applyAlignment="1">
      <alignment horizontal="center" vertical="center" wrapText="1"/>
    </xf>
    <xf numFmtId="4" fontId="22" fillId="3" borderId="3" xfId="0" applyNumberFormat="1" applyFont="1" applyFill="1" applyBorder="1" applyAlignment="1">
      <alignment horizontal="center" vertical="center" wrapText="1"/>
    </xf>
    <xf numFmtId="4" fontId="22" fillId="3" borderId="34" xfId="0" applyNumberFormat="1" applyFont="1" applyFill="1" applyBorder="1" applyAlignment="1">
      <alignment horizontal="center" vertical="center" wrapText="1"/>
    </xf>
    <xf numFmtId="0" fontId="21" fillId="46" borderId="11" xfId="1" applyFont="1" applyFill="1" applyBorder="1" applyAlignment="1">
      <alignment horizontal="left" vertical="center" wrapText="1"/>
    </xf>
    <xf numFmtId="0" fontId="21" fillId="46" borderId="8" xfId="1" applyFont="1" applyFill="1" applyBorder="1" applyAlignment="1">
      <alignment horizontal="left" vertical="center" wrapText="1"/>
    </xf>
    <xf numFmtId="0" fontId="21" fillId="46" borderId="0" xfId="1" applyFont="1" applyFill="1" applyBorder="1" applyAlignment="1">
      <alignment horizontal="left" vertical="center" wrapText="1"/>
    </xf>
    <xf numFmtId="0" fontId="21" fillId="46" borderId="27" xfId="1" applyFont="1" applyFill="1" applyBorder="1" applyAlignment="1">
      <alignment horizontal="left" vertical="center" wrapText="1"/>
    </xf>
    <xf numFmtId="0" fontId="21" fillId="46" borderId="37" xfId="1" applyFont="1" applyFill="1" applyBorder="1" applyAlignment="1">
      <alignment horizontal="left" vertical="center" wrapText="1"/>
    </xf>
    <xf numFmtId="0" fontId="21" fillId="46" borderId="36" xfId="1" applyFont="1" applyFill="1" applyBorder="1" applyAlignment="1">
      <alignment horizontal="left" vertical="center" wrapText="1"/>
    </xf>
    <xf numFmtId="0" fontId="21" fillId="46" borderId="35" xfId="1" applyFont="1" applyFill="1" applyBorder="1" applyAlignment="1">
      <alignment horizontal="left" vertical="center" wrapText="1"/>
    </xf>
    <xf numFmtId="9" fontId="21" fillId="46" borderId="2" xfId="56" applyFont="1" applyFill="1" applyBorder="1" applyAlignment="1">
      <alignment horizontal="center" vertical="center" wrapText="1"/>
    </xf>
    <xf numFmtId="9" fontId="21" fillId="46" borderId="3" xfId="56" applyFont="1" applyFill="1" applyBorder="1" applyAlignment="1">
      <alignment horizontal="center" vertical="center" wrapText="1"/>
    </xf>
    <xf numFmtId="9" fontId="21" fillId="46" borderId="34" xfId="56" applyFont="1" applyFill="1" applyBorder="1" applyAlignment="1">
      <alignment horizontal="center" vertical="center" wrapText="1"/>
    </xf>
    <xf numFmtId="164" fontId="21" fillId="46" borderId="2" xfId="1" applyNumberFormat="1" applyFont="1" applyFill="1" applyBorder="1" applyAlignment="1">
      <alignment horizontal="center" vertical="center" wrapText="1"/>
    </xf>
    <xf numFmtId="164" fontId="21" fillId="46" borderId="3" xfId="1" applyNumberFormat="1" applyFont="1" applyFill="1" applyBorder="1" applyAlignment="1">
      <alignment horizontal="center" vertical="center" wrapText="1"/>
    </xf>
    <xf numFmtId="164" fontId="21" fillId="46" borderId="34" xfId="1" applyNumberFormat="1" applyFont="1" applyFill="1" applyBorder="1" applyAlignment="1">
      <alignment horizontal="center" vertical="center" wrapText="1"/>
    </xf>
    <xf numFmtId="0" fontId="22" fillId="45" borderId="7" xfId="1" applyFont="1" applyFill="1" applyBorder="1" applyAlignment="1">
      <alignment horizontal="left" vertical="center"/>
    </xf>
    <xf numFmtId="0" fontId="22" fillId="45" borderId="4" xfId="1" applyFont="1" applyFill="1" applyBorder="1" applyAlignment="1">
      <alignment horizontal="left" vertical="center"/>
    </xf>
    <xf numFmtId="0" fontId="22" fillId="3" borderId="2" xfId="1" applyFont="1" applyFill="1" applyBorder="1" applyAlignment="1">
      <alignment vertical="center" wrapText="1"/>
    </xf>
    <xf numFmtId="0" fontId="22" fillId="3" borderId="34" xfId="1" applyFont="1" applyFill="1" applyBorder="1" applyAlignment="1">
      <alignment vertical="center" wrapText="1"/>
    </xf>
    <xf numFmtId="9" fontId="22" fillId="3" borderId="2" xfId="56" applyFont="1" applyFill="1" applyBorder="1" applyAlignment="1">
      <alignment horizontal="center" vertical="center" wrapText="1"/>
    </xf>
    <xf numFmtId="9" fontId="22" fillId="3" borderId="34" xfId="56" applyFont="1" applyFill="1" applyBorder="1" applyAlignment="1">
      <alignment horizontal="center" vertical="center" wrapText="1"/>
    </xf>
    <xf numFmtId="0" fontId="81" fillId="3" borderId="2" xfId="0" applyFont="1" applyFill="1" applyBorder="1" applyAlignment="1">
      <alignment vertical="center" wrapText="1"/>
    </xf>
    <xf numFmtId="0" fontId="81" fillId="3" borderId="3" xfId="0" applyFont="1" applyFill="1" applyBorder="1" applyAlignment="1">
      <alignment vertical="center" wrapText="1"/>
    </xf>
    <xf numFmtId="0" fontId="81" fillId="3" borderId="34" xfId="0" applyFont="1" applyFill="1" applyBorder="1" applyAlignment="1">
      <alignment vertical="center"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34" xfId="0" applyFont="1" applyFill="1" applyBorder="1" applyAlignment="1">
      <alignment horizontal="center" vertical="top" wrapText="1"/>
    </xf>
    <xf numFmtId="164" fontId="2" fillId="3" borderId="2" xfId="0" applyNumberFormat="1" applyFont="1" applyFill="1" applyBorder="1" applyAlignment="1">
      <alignment horizontal="center" vertical="center" wrapText="1"/>
    </xf>
    <xf numFmtId="164" fontId="2" fillId="3" borderId="3" xfId="0" applyNumberFormat="1" applyFont="1" applyFill="1" applyBorder="1" applyAlignment="1">
      <alignment horizontal="center" vertical="center" wrapText="1"/>
    </xf>
    <xf numFmtId="164" fontId="2" fillId="3" borderId="34" xfId="0" applyNumberFormat="1" applyFont="1" applyFill="1" applyBorder="1" applyAlignment="1">
      <alignment horizontal="center" vertical="center" wrapText="1"/>
    </xf>
    <xf numFmtId="166" fontId="2" fillId="3" borderId="1" xfId="0" applyNumberFormat="1" applyFont="1" applyFill="1" applyBorder="1" applyAlignment="1">
      <alignment horizontal="center" vertical="center"/>
    </xf>
    <xf numFmtId="0" fontId="22" fillId="3" borderId="1" xfId="0" applyFont="1" applyFill="1" applyBorder="1" applyAlignment="1">
      <alignment horizontal="left" vertical="top" wrapText="1"/>
    </xf>
    <xf numFmtId="0" fontId="2" fillId="3" borderId="1" xfId="0" applyFont="1" applyFill="1" applyBorder="1" applyAlignment="1">
      <alignment vertical="center" wrapText="1"/>
    </xf>
    <xf numFmtId="164" fontId="2" fillId="3" borderId="1" xfId="0" applyNumberFormat="1" applyFont="1" applyFill="1" applyBorder="1" applyAlignment="1">
      <alignment horizontal="center" vertical="center" wrapText="1"/>
    </xf>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0" fontId="2" fillId="3" borderId="34" xfId="0" applyFont="1" applyFill="1" applyBorder="1" applyAlignment="1">
      <alignment vertical="center" wrapText="1"/>
    </xf>
    <xf numFmtId="0" fontId="22" fillId="47" borderId="6" xfId="1" applyFont="1" applyFill="1" applyBorder="1" applyAlignment="1">
      <alignment horizontal="left" vertical="center" wrapText="1"/>
    </xf>
    <xf numFmtId="0" fontId="22" fillId="47" borderId="7" xfId="1" applyFont="1" applyFill="1" applyBorder="1" applyAlignment="1">
      <alignment horizontal="left" vertical="center" wrapText="1"/>
    </xf>
    <xf numFmtId="0" fontId="22" fillId="47" borderId="4" xfId="1" applyFont="1" applyFill="1" applyBorder="1" applyAlignment="1">
      <alignment horizontal="left" vertical="center" wrapText="1"/>
    </xf>
    <xf numFmtId="0" fontId="34" fillId="3" borderId="1" xfId="0" applyFont="1" applyFill="1" applyBorder="1" applyAlignment="1">
      <alignment horizontal="center" vertical="center" wrapText="1"/>
    </xf>
    <xf numFmtId="0" fontId="21" fillId="46" borderId="0" xfId="1" applyFont="1" applyFill="1" applyAlignment="1">
      <alignment horizontal="left" vertical="center" wrapText="1"/>
    </xf>
    <xf numFmtId="0" fontId="21" fillId="46" borderId="2" xfId="1" applyFont="1" applyFill="1" applyBorder="1" applyAlignment="1">
      <alignment horizontal="center" vertical="center" wrapText="1"/>
    </xf>
    <xf numFmtId="0" fontId="21" fillId="46" borderId="3" xfId="1" applyFont="1" applyFill="1" applyBorder="1" applyAlignment="1">
      <alignment horizontal="center" vertical="center" wrapText="1"/>
    </xf>
    <xf numFmtId="0" fontId="21" fillId="46" borderId="34" xfId="1" applyFont="1" applyFill="1" applyBorder="1" applyAlignment="1">
      <alignment horizontal="center" vertical="center" wrapText="1"/>
    </xf>
    <xf numFmtId="0" fontId="0" fillId="0" borderId="7" xfId="0" applyBorder="1" applyAlignment="1">
      <alignment horizontal="left" vertical="center" wrapText="1"/>
    </xf>
    <xf numFmtId="0" fontId="0" fillId="0" borderId="4" xfId="0" applyBorder="1" applyAlignment="1">
      <alignment horizontal="left" vertical="center" wrapText="1"/>
    </xf>
    <xf numFmtId="0" fontId="22" fillId="3" borderId="1" xfId="1" applyFont="1" applyFill="1" applyBorder="1" applyAlignment="1">
      <alignment horizontal="center" vertical="top" wrapText="1"/>
    </xf>
    <xf numFmtId="164" fontId="22" fillId="3" borderId="1" xfId="1" applyNumberFormat="1" applyFont="1" applyFill="1" applyBorder="1" applyAlignment="1">
      <alignment horizontal="center" vertical="center" wrapText="1"/>
    </xf>
    <xf numFmtId="9" fontId="22" fillId="3" borderId="3" xfId="56" applyFont="1" applyFill="1" applyBorder="1" applyAlignment="1">
      <alignment horizontal="center" vertical="center" wrapText="1"/>
    </xf>
    <xf numFmtId="0" fontId="2" fillId="3" borderId="2" xfId="51" applyFont="1" applyFill="1" applyBorder="1" applyAlignment="1">
      <alignment horizontal="center" vertical="center" wrapText="1"/>
    </xf>
    <xf numFmtId="0" fontId="2" fillId="3" borderId="3" xfId="51" applyFont="1" applyFill="1" applyBorder="1" applyAlignment="1">
      <alignment horizontal="center" vertical="center" wrapText="1"/>
    </xf>
    <xf numFmtId="0" fontId="2" fillId="3" borderId="34" xfId="51" applyFont="1" applyFill="1" applyBorder="1" applyAlignment="1">
      <alignment horizontal="center" vertical="center" wrapText="1"/>
    </xf>
    <xf numFmtId="0" fontId="2" fillId="41" borderId="2" xfId="51" applyFont="1" applyFill="1" applyBorder="1" applyAlignment="1">
      <alignment horizontal="center" vertical="center" wrapText="1"/>
    </xf>
    <xf numFmtId="0" fontId="2" fillId="41" borderId="3" xfId="51" applyFont="1" applyFill="1" applyBorder="1" applyAlignment="1">
      <alignment horizontal="center" vertical="center" wrapText="1"/>
    </xf>
    <xf numFmtId="0" fontId="2" fillId="41" borderId="34" xfId="51" applyFont="1" applyFill="1" applyBorder="1" applyAlignment="1">
      <alignment horizontal="center" vertical="center" wrapText="1"/>
    </xf>
    <xf numFmtId="164" fontId="2" fillId="41" borderId="2" xfId="51" applyNumberFormat="1" applyFont="1" applyFill="1" applyBorder="1" applyAlignment="1">
      <alignment horizontal="center" vertical="center" wrapText="1"/>
    </xf>
    <xf numFmtId="164" fontId="2" fillId="41" borderId="3" xfId="51" applyNumberFormat="1" applyFont="1" applyFill="1" applyBorder="1" applyAlignment="1">
      <alignment horizontal="center" vertical="center" wrapText="1"/>
    </xf>
    <xf numFmtId="164" fontId="2" fillId="41" borderId="34" xfId="51" applyNumberFormat="1" applyFont="1" applyFill="1" applyBorder="1" applyAlignment="1">
      <alignment horizontal="center" vertical="center" wrapText="1"/>
    </xf>
    <xf numFmtId="9" fontId="2" fillId="3" borderId="2" xfId="51" applyNumberFormat="1" applyFont="1" applyFill="1" applyBorder="1" applyAlignment="1">
      <alignment horizontal="center" vertical="center" wrapText="1"/>
    </xf>
    <xf numFmtId="0" fontId="34" fillId="3" borderId="2" xfId="0" applyFont="1" applyFill="1" applyBorder="1" applyAlignment="1">
      <alignment horizontal="left" vertical="top" wrapText="1"/>
    </xf>
    <xf numFmtId="0" fontId="34" fillId="3" borderId="3" xfId="0" applyFont="1" applyFill="1" applyBorder="1" applyAlignment="1">
      <alignment horizontal="left" vertical="top" wrapText="1"/>
    </xf>
    <xf numFmtId="0" fontId="34" fillId="3" borderId="34" xfId="0" applyFont="1" applyFill="1" applyBorder="1" applyAlignment="1">
      <alignment horizontal="left" vertical="top" wrapText="1"/>
    </xf>
    <xf numFmtId="0" fontId="2" fillId="3" borderId="2" xfId="51" applyFont="1" applyFill="1" applyBorder="1" applyAlignment="1">
      <alignment horizontal="left" vertical="center" wrapText="1"/>
    </xf>
    <xf numFmtId="0" fontId="2" fillId="3" borderId="3" xfId="51" applyFont="1" applyFill="1" applyBorder="1" applyAlignment="1">
      <alignment horizontal="left" vertical="center" wrapText="1"/>
    </xf>
    <xf numFmtId="0" fontId="2" fillId="3" borderId="34" xfId="51" applyFont="1" applyFill="1" applyBorder="1" applyAlignment="1">
      <alignment horizontal="left" vertical="center" wrapText="1"/>
    </xf>
    <xf numFmtId="0" fontId="34" fillId="3" borderId="2" xfId="0" applyFont="1" applyFill="1" applyBorder="1" applyAlignment="1">
      <alignment horizontal="left" vertical="center" wrapText="1"/>
    </xf>
    <xf numFmtId="0" fontId="34" fillId="3" borderId="3" xfId="0" applyFont="1" applyFill="1" applyBorder="1" applyAlignment="1">
      <alignment horizontal="left" vertical="center" wrapText="1"/>
    </xf>
    <xf numFmtId="0" fontId="34" fillId="3" borderId="34" xfId="0" applyFont="1" applyFill="1" applyBorder="1" applyAlignment="1">
      <alignment horizontal="left" vertical="center" wrapText="1"/>
    </xf>
    <xf numFmtId="0" fontId="2" fillId="41" borderId="2" xfId="77" applyFont="1" applyFill="1" applyBorder="1" applyAlignment="1">
      <alignment horizontal="center" vertical="center" wrapText="1"/>
    </xf>
    <xf numFmtId="0" fontId="2" fillId="41" borderId="3" xfId="77" applyFont="1" applyFill="1" applyBorder="1" applyAlignment="1">
      <alignment horizontal="center" vertical="center" wrapText="1"/>
    </xf>
    <xf numFmtId="0" fontId="2" fillId="41" borderId="34" xfId="77" applyFont="1" applyFill="1" applyBorder="1" applyAlignment="1">
      <alignment horizontal="center" vertical="center" wrapText="1"/>
    </xf>
    <xf numFmtId="164" fontId="2" fillId="41" borderId="2" xfId="77" applyNumberFormat="1" applyFont="1" applyFill="1" applyBorder="1" applyAlignment="1">
      <alignment horizontal="center" vertical="center" wrapText="1"/>
    </xf>
    <xf numFmtId="164" fontId="2" fillId="41" borderId="3" xfId="77" applyNumberFormat="1" applyFont="1" applyFill="1" applyBorder="1" applyAlignment="1">
      <alignment horizontal="center" vertical="center" wrapText="1"/>
    </xf>
    <xf numFmtId="164" fontId="2" fillId="41" borderId="34" xfId="77" applyNumberFormat="1" applyFont="1" applyFill="1" applyBorder="1" applyAlignment="1">
      <alignment horizontal="center" vertical="center" wrapText="1"/>
    </xf>
    <xf numFmtId="0" fontId="34" fillId="0" borderId="2" xfId="0" applyFont="1" applyFill="1" applyBorder="1" applyAlignment="1">
      <alignment horizontal="left" vertical="center" wrapText="1"/>
    </xf>
    <xf numFmtId="0" fontId="34" fillId="0" borderId="3" xfId="0" applyFont="1" applyFill="1" applyBorder="1" applyAlignment="1">
      <alignment horizontal="left" vertical="center" wrapText="1"/>
    </xf>
    <xf numFmtId="0" fontId="34" fillId="0" borderId="34" xfId="0" applyFont="1" applyFill="1" applyBorder="1" applyAlignment="1">
      <alignment horizontal="left" vertical="center" wrapText="1"/>
    </xf>
    <xf numFmtId="0" fontId="2" fillId="3" borderId="1" xfId="51" applyFont="1" applyFill="1" applyBorder="1" applyAlignment="1">
      <alignment horizontal="left" vertical="center" wrapText="1"/>
    </xf>
    <xf numFmtId="0" fontId="46" fillId="3" borderId="2" xfId="51" applyFont="1" applyFill="1" applyBorder="1" applyAlignment="1">
      <alignment horizontal="center" vertical="center"/>
    </xf>
    <xf numFmtId="0" fontId="46" fillId="3" borderId="3" xfId="51" applyFont="1" applyFill="1" applyBorder="1" applyAlignment="1">
      <alignment horizontal="center" vertical="center"/>
    </xf>
    <xf numFmtId="0" fontId="46" fillId="3" borderId="34" xfId="51" applyFont="1" applyFill="1" applyBorder="1" applyAlignment="1">
      <alignment horizontal="center" vertical="center"/>
    </xf>
    <xf numFmtId="0" fontId="2" fillId="3" borderId="1" xfId="51" applyFont="1" applyFill="1" applyBorder="1" applyAlignment="1">
      <alignment horizontal="center" vertical="center" wrapText="1"/>
    </xf>
    <xf numFmtId="164" fontId="2" fillId="3" borderId="1" xfId="51" applyNumberFormat="1" applyFont="1" applyFill="1" applyBorder="1" applyAlignment="1">
      <alignment horizontal="center" vertical="center" wrapText="1"/>
    </xf>
    <xf numFmtId="0" fontId="2" fillId="3" borderId="2" xfId="1" applyFont="1" applyFill="1" applyBorder="1" applyAlignment="1">
      <alignment horizontal="left" vertical="center" wrapText="1"/>
    </xf>
    <xf numFmtId="0" fontId="2" fillId="3" borderId="3" xfId="1" applyFont="1" applyFill="1" applyBorder="1" applyAlignment="1">
      <alignment horizontal="left" vertical="center" wrapText="1"/>
    </xf>
    <xf numFmtId="0" fontId="2" fillId="3" borderId="34" xfId="1" applyFont="1" applyFill="1" applyBorder="1" applyAlignment="1">
      <alignment horizontal="left" vertical="center" wrapText="1"/>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2" fillId="3" borderId="34" xfId="1" applyFont="1" applyFill="1" applyBorder="1" applyAlignment="1">
      <alignment horizontal="center" vertical="center" wrapText="1"/>
    </xf>
    <xf numFmtId="164" fontId="2" fillId="3" borderId="2" xfId="1" applyNumberFormat="1" applyFont="1" applyFill="1" applyBorder="1" applyAlignment="1">
      <alignment horizontal="center" vertical="center" wrapText="1"/>
    </xf>
    <xf numFmtId="164" fontId="2" fillId="3" borderId="3" xfId="1" applyNumberFormat="1" applyFont="1" applyFill="1" applyBorder="1" applyAlignment="1">
      <alignment horizontal="center" vertical="center" wrapText="1"/>
    </xf>
    <xf numFmtId="164" fontId="2" fillId="3" borderId="34" xfId="1" applyNumberFormat="1" applyFont="1" applyFill="1" applyBorder="1" applyAlignment="1">
      <alignment horizontal="center" vertical="center" wrapText="1"/>
    </xf>
    <xf numFmtId="9" fontId="2" fillId="3" borderId="2" xfId="56" applyFont="1" applyFill="1" applyBorder="1" applyAlignment="1">
      <alignment horizontal="center" vertical="center" wrapText="1"/>
    </xf>
    <xf numFmtId="9" fontId="2" fillId="3" borderId="3" xfId="56" applyFont="1" applyFill="1" applyBorder="1" applyAlignment="1">
      <alignment horizontal="center" vertical="center" wrapText="1"/>
    </xf>
    <xf numFmtId="9" fontId="2" fillId="3" borderId="34" xfId="56" applyFont="1" applyFill="1" applyBorder="1" applyAlignment="1">
      <alignment horizontal="center" vertical="center" wrapText="1"/>
    </xf>
    <xf numFmtId="0" fontId="2" fillId="0" borderId="2" xfId="1" applyFont="1" applyFill="1" applyBorder="1" applyAlignment="1">
      <alignment vertical="center" wrapText="1"/>
    </xf>
    <xf numFmtId="0" fontId="2" fillId="0" borderId="3" xfId="1" applyFont="1" applyFill="1" applyBorder="1" applyAlignment="1">
      <alignment vertical="center" wrapText="1"/>
    </xf>
    <xf numFmtId="0" fontId="2" fillId="0" borderId="34" xfId="1" applyFont="1" applyFill="1" applyBorder="1" applyAlignment="1">
      <alignment vertical="center" wrapText="1"/>
    </xf>
    <xf numFmtId="0" fontId="34" fillId="0" borderId="2" xfId="0" applyFont="1" applyFill="1" applyBorder="1" applyAlignment="1">
      <alignment horizontal="left" vertical="top" wrapText="1"/>
    </xf>
    <xf numFmtId="0" fontId="34" fillId="0" borderId="3" xfId="0" applyFont="1" applyFill="1" applyBorder="1" applyAlignment="1">
      <alignment horizontal="left" vertical="top" wrapText="1"/>
    </xf>
    <xf numFmtId="0" fontId="34" fillId="0" borderId="34" xfId="0" applyFont="1" applyFill="1" applyBorder="1" applyAlignment="1">
      <alignment horizontal="left" vertical="top" wrapText="1"/>
    </xf>
    <xf numFmtId="0" fontId="2" fillId="41" borderId="1" xfId="77" applyFont="1" applyFill="1" applyBorder="1" applyAlignment="1">
      <alignment horizontal="center" vertical="center" wrapText="1"/>
    </xf>
    <xf numFmtId="164" fontId="2" fillId="41" borderId="1" xfId="77" applyNumberFormat="1" applyFont="1" applyFill="1" applyBorder="1" applyAlignment="1">
      <alignment horizontal="center" vertical="center" wrapText="1"/>
    </xf>
    <xf numFmtId="0" fontId="2" fillId="3" borderId="31" xfId="0" applyFont="1" applyFill="1" applyBorder="1" applyAlignment="1">
      <alignment horizontal="center" vertical="center" wrapText="1"/>
    </xf>
    <xf numFmtId="0" fontId="35" fillId="3" borderId="33" xfId="0" applyFont="1" applyFill="1" applyBorder="1" applyAlignment="1">
      <alignment horizontal="center" vertical="center" wrapText="1"/>
    </xf>
    <xf numFmtId="0" fontId="2" fillId="3" borderId="34" xfId="1" applyFont="1" applyFill="1" applyBorder="1" applyAlignment="1">
      <alignment vertical="top" wrapText="1"/>
    </xf>
    <xf numFmtId="0" fontId="2" fillId="3" borderId="1" xfId="1" applyFont="1" applyFill="1" applyBorder="1" applyAlignment="1">
      <alignment vertical="top" wrapText="1"/>
    </xf>
    <xf numFmtId="0" fontId="2" fillId="3" borderId="1" xfId="1" applyFont="1" applyFill="1" applyBorder="1" applyAlignment="1">
      <alignment horizontal="center" vertical="center" wrapText="1"/>
    </xf>
    <xf numFmtId="164" fontId="2" fillId="3" borderId="1" xfId="1" applyNumberFormat="1" applyFont="1" applyFill="1" applyBorder="1" applyAlignment="1">
      <alignment horizontal="center" vertical="center" wrapText="1"/>
    </xf>
    <xf numFmtId="0" fontId="35" fillId="3" borderId="34" xfId="0" applyFont="1" applyFill="1" applyBorder="1" applyAlignment="1">
      <alignment horizontal="center" vertical="center" wrapText="1"/>
    </xf>
    <xf numFmtId="0" fontId="2" fillId="3" borderId="23" xfId="0" applyFont="1" applyFill="1" applyBorder="1" applyAlignment="1">
      <alignment vertical="top" wrapText="1"/>
    </xf>
    <xf numFmtId="0" fontId="2" fillId="3" borderId="30" xfId="0" applyFont="1" applyFill="1" applyBorder="1" applyAlignment="1">
      <alignment vertical="top" wrapText="1"/>
    </xf>
    <xf numFmtId="0" fontId="2" fillId="3" borderId="32" xfId="0" applyFont="1" applyFill="1" applyBorder="1" applyAlignment="1">
      <alignment vertical="top" wrapText="1"/>
    </xf>
    <xf numFmtId="0" fontId="2" fillId="3" borderId="8" xfId="0" applyFont="1" applyFill="1" applyBorder="1" applyAlignment="1">
      <alignment horizontal="center" vertical="center" wrapText="1"/>
    </xf>
    <xf numFmtId="0" fontId="35" fillId="3" borderId="27" xfId="0" applyFont="1" applyFill="1" applyBorder="1" applyAlignment="1">
      <alignment horizontal="center" vertical="center" wrapText="1"/>
    </xf>
    <xf numFmtId="0" fontId="35" fillId="3" borderId="3" xfId="0" applyFont="1" applyFill="1" applyBorder="1" applyAlignment="1">
      <alignment vertical="center" wrapText="1"/>
    </xf>
    <xf numFmtId="0" fontId="35" fillId="3" borderId="34" xfId="0" applyFont="1" applyFill="1" applyBorder="1" applyAlignment="1">
      <alignment horizontal="left" vertical="center" wrapText="1"/>
    </xf>
    <xf numFmtId="0" fontId="22" fillId="3" borderId="34" xfId="0" applyFont="1" applyFill="1" applyBorder="1" applyAlignment="1">
      <alignment horizontal="left" vertical="top" wrapText="1"/>
    </xf>
    <xf numFmtId="0" fontId="22" fillId="0" borderId="2" xfId="1" applyFont="1" applyFill="1" applyBorder="1" applyAlignment="1">
      <alignment horizontal="left" vertical="top" wrapText="1"/>
    </xf>
    <xf numFmtId="0" fontId="22" fillId="0" borderId="3" xfId="1" applyFont="1" applyFill="1" applyBorder="1" applyAlignment="1">
      <alignment horizontal="left" vertical="top" wrapText="1"/>
    </xf>
    <xf numFmtId="0" fontId="22" fillId="0" borderId="34" xfId="1" applyFont="1" applyFill="1" applyBorder="1" applyAlignment="1">
      <alignment horizontal="left" vertical="top" wrapText="1"/>
    </xf>
    <xf numFmtId="1" fontId="2" fillId="3" borderId="1" xfId="0" applyNumberFormat="1" applyFont="1" applyFill="1" applyBorder="1" applyAlignment="1">
      <alignment horizontal="center" vertical="center" wrapText="1"/>
    </xf>
    <xf numFmtId="0" fontId="2" fillId="3" borderId="1" xfId="0" applyFont="1" applyFill="1" applyBorder="1" applyAlignment="1">
      <alignment vertical="top" wrapText="1"/>
    </xf>
    <xf numFmtId="0" fontId="2" fillId="3" borderId="1" xfId="0" applyFont="1" applyFill="1" applyBorder="1" applyAlignment="1">
      <alignment horizontal="center" vertical="top"/>
    </xf>
    <xf numFmtId="0" fontId="2" fillId="3" borderId="3" xfId="0" applyFont="1" applyFill="1" applyBorder="1" applyAlignment="1">
      <alignment horizontal="center" vertical="top"/>
    </xf>
    <xf numFmtId="0" fontId="2" fillId="3" borderId="34" xfId="0" applyFont="1" applyFill="1" applyBorder="1" applyAlignment="1">
      <alignment horizontal="center" vertical="top"/>
    </xf>
    <xf numFmtId="4" fontId="2" fillId="3" borderId="2" xfId="0" applyNumberFormat="1" applyFont="1" applyFill="1" applyBorder="1" applyAlignment="1">
      <alignment horizontal="center" vertical="top" wrapText="1"/>
    </xf>
    <xf numFmtId="4" fontId="2" fillId="3" borderId="3" xfId="0" applyNumberFormat="1" applyFont="1" applyFill="1" applyBorder="1" applyAlignment="1">
      <alignment horizontal="center" vertical="top"/>
    </xf>
    <xf numFmtId="4" fontId="2" fillId="3" borderId="34" xfId="0" applyNumberFormat="1" applyFont="1" applyFill="1" applyBorder="1" applyAlignment="1">
      <alignment horizontal="center" vertical="top"/>
    </xf>
    <xf numFmtId="166" fontId="2" fillId="3" borderId="2" xfId="0" applyNumberFormat="1" applyFont="1" applyFill="1" applyBorder="1" applyAlignment="1">
      <alignment horizontal="center" vertical="top"/>
    </xf>
    <xf numFmtId="0" fontId="35" fillId="3" borderId="3" xfId="0" applyFont="1" applyFill="1" applyBorder="1" applyAlignment="1">
      <alignment vertical="top" wrapText="1"/>
    </xf>
    <xf numFmtId="0" fontId="35" fillId="3" borderId="34" xfId="0" applyFont="1" applyFill="1" applyBorder="1" applyAlignment="1">
      <alignment vertical="top" wrapText="1"/>
    </xf>
    <xf numFmtId="9" fontId="21" fillId="46" borderId="1" xfId="56" applyFont="1" applyFill="1" applyBorder="1" applyAlignment="1">
      <alignment horizontal="center" vertical="center" wrapText="1"/>
    </xf>
    <xf numFmtId="0" fontId="21" fillId="46" borderId="1" xfId="1" applyFont="1" applyFill="1" applyBorder="1" applyAlignment="1">
      <alignment horizontal="left" vertical="center" wrapText="1"/>
    </xf>
    <xf numFmtId="0" fontId="35" fillId="3" borderId="3" xfId="0" applyFont="1" applyFill="1" applyBorder="1" applyAlignment="1">
      <alignment horizontal="center" vertical="center" wrapText="1"/>
    </xf>
    <xf numFmtId="0" fontId="35" fillId="3" borderId="3" xfId="0" applyFont="1" applyFill="1" applyBorder="1" applyAlignment="1">
      <alignment horizontal="left" vertical="center" wrapText="1"/>
    </xf>
    <xf numFmtId="10" fontId="2" fillId="3" borderId="1" xfId="0" applyNumberFormat="1" applyFont="1" applyFill="1" applyBorder="1" applyAlignment="1">
      <alignment horizontal="center" vertical="center"/>
    </xf>
    <xf numFmtId="0" fontId="2" fillId="3" borderId="2" xfId="0" applyFont="1" applyFill="1" applyBorder="1" applyAlignment="1">
      <alignment horizontal="left" wrapText="1"/>
    </xf>
    <xf numFmtId="0" fontId="2" fillId="3" borderId="3" xfId="0" applyFont="1" applyFill="1" applyBorder="1" applyAlignment="1">
      <alignment horizontal="left" wrapText="1"/>
    </xf>
    <xf numFmtId="0" fontId="2" fillId="3" borderId="34" xfId="0" applyFont="1" applyFill="1" applyBorder="1" applyAlignment="1">
      <alignment horizontal="left" wrapText="1"/>
    </xf>
    <xf numFmtId="9" fontId="2" fillId="3" borderId="2" xfId="0" applyNumberFormat="1" applyFont="1" applyFill="1" applyBorder="1" applyAlignment="1">
      <alignment horizontal="center" vertical="center" wrapText="1"/>
    </xf>
    <xf numFmtId="9" fontId="2" fillId="3" borderId="3" xfId="0" applyNumberFormat="1" applyFont="1" applyFill="1" applyBorder="1" applyAlignment="1">
      <alignment horizontal="center" vertical="center" wrapText="1"/>
    </xf>
    <xf numFmtId="9" fontId="2" fillId="3" borderId="34" xfId="0" applyNumberFormat="1" applyFont="1" applyFill="1" applyBorder="1" applyAlignment="1">
      <alignment horizontal="center" vertical="center" wrapText="1"/>
    </xf>
    <xf numFmtId="0" fontId="22" fillId="3" borderId="1" xfId="1" applyFont="1" applyFill="1" applyBorder="1" applyAlignment="1">
      <alignment horizontal="left" vertical="top" wrapText="1"/>
    </xf>
    <xf numFmtId="0" fontId="59" fillId="3" borderId="2" xfId="0" applyFont="1" applyFill="1" applyBorder="1" applyAlignment="1">
      <alignment horizontal="left" vertical="center" wrapText="1"/>
    </xf>
    <xf numFmtId="0" fontId="59" fillId="3" borderId="3" xfId="0" applyFont="1" applyFill="1" applyBorder="1" applyAlignment="1">
      <alignment horizontal="left" vertical="center" wrapText="1"/>
    </xf>
    <xf numFmtId="0" fontId="59" fillId="3" borderId="34" xfId="0" applyFont="1" applyFill="1" applyBorder="1" applyAlignment="1">
      <alignment horizontal="left" vertical="center" wrapText="1"/>
    </xf>
    <xf numFmtId="0" fontId="59" fillId="3" borderId="1" xfId="0" applyFont="1" applyFill="1" applyBorder="1" applyAlignment="1">
      <alignment horizontal="center" vertical="top" wrapText="1"/>
    </xf>
    <xf numFmtId="0" fontId="59" fillId="3" borderId="2" xfId="0" applyFont="1" applyFill="1" applyBorder="1" applyAlignment="1">
      <alignment horizontal="center" vertical="top" wrapText="1"/>
    </xf>
    <xf numFmtId="0" fontId="59" fillId="3" borderId="2" xfId="0" applyFont="1" applyFill="1" applyBorder="1" applyAlignment="1">
      <alignment horizontal="center" vertical="center" wrapText="1"/>
    </xf>
    <xf numFmtId="0" fontId="59" fillId="3" borderId="3" xfId="0" applyFont="1" applyFill="1" applyBorder="1" applyAlignment="1">
      <alignment horizontal="center" vertical="center" wrapText="1"/>
    </xf>
    <xf numFmtId="0" fontId="59" fillId="3" borderId="34" xfId="0" applyFont="1" applyFill="1" applyBorder="1" applyAlignment="1">
      <alignment horizontal="center" vertical="center" wrapText="1"/>
    </xf>
    <xf numFmtId="4" fontId="59" fillId="3" borderId="2" xfId="0" applyNumberFormat="1" applyFont="1" applyFill="1" applyBorder="1" applyAlignment="1">
      <alignment horizontal="center" vertical="top" wrapText="1"/>
    </xf>
    <xf numFmtId="4" fontId="59" fillId="3" borderId="3" xfId="0" applyNumberFormat="1" applyFont="1" applyFill="1" applyBorder="1" applyAlignment="1">
      <alignment horizontal="center" vertical="top" wrapText="1"/>
    </xf>
    <xf numFmtId="4" fontId="59" fillId="3" borderId="34" xfId="0" applyNumberFormat="1" applyFont="1" applyFill="1" applyBorder="1" applyAlignment="1">
      <alignment horizontal="center" vertical="top" wrapText="1"/>
    </xf>
    <xf numFmtId="4" fontId="22" fillId="0" borderId="2" xfId="49" applyNumberFormat="1" applyFont="1" applyFill="1" applyBorder="1" applyAlignment="1" applyProtection="1">
      <alignment horizontal="center" vertical="center" wrapText="1"/>
      <protection locked="0"/>
    </xf>
    <xf numFmtId="4" fontId="22" fillId="0" borderId="34" xfId="49" applyNumberFormat="1" applyFont="1" applyFill="1" applyBorder="1" applyAlignment="1" applyProtection="1">
      <alignment horizontal="center" vertical="center" wrapText="1"/>
      <protection locked="0"/>
    </xf>
    <xf numFmtId="1" fontId="21" fillId="0" borderId="1" xfId="56" applyNumberFormat="1" applyFont="1" applyFill="1" applyBorder="1" applyAlignment="1">
      <alignment horizontal="center" vertical="center" wrapText="1"/>
    </xf>
    <xf numFmtId="164" fontId="21" fillId="0" borderId="1" xfId="1" applyNumberFormat="1" applyFont="1" applyBorder="1" applyAlignment="1">
      <alignment horizontal="left" vertical="center" wrapText="1"/>
    </xf>
    <xf numFmtId="0" fontId="21" fillId="0" borderId="1" xfId="1" applyFont="1" applyBorder="1" applyAlignment="1">
      <alignment horizontal="left" vertical="center" wrapText="1"/>
    </xf>
    <xf numFmtId="164" fontId="21" fillId="46" borderId="8" xfId="1" applyNumberFormat="1" applyFont="1" applyFill="1" applyBorder="1" applyAlignment="1">
      <alignment horizontal="center" vertical="center" wrapText="1"/>
    </xf>
    <xf numFmtId="0" fontId="21" fillId="46" borderId="27" xfId="1" applyFont="1" applyFill="1" applyBorder="1" applyAlignment="1">
      <alignment horizontal="center" vertical="center" wrapText="1"/>
    </xf>
    <xf numFmtId="0" fontId="73" fillId="0" borderId="36" xfId="0" applyFont="1" applyBorder="1" applyAlignment="1">
      <alignment horizontal="center" vertical="center"/>
    </xf>
    <xf numFmtId="0" fontId="22" fillId="36" borderId="2" xfId="49" applyFont="1" applyBorder="1" applyAlignment="1">
      <alignment horizontal="center" vertical="center" wrapText="1"/>
    </xf>
    <xf numFmtId="0" fontId="22" fillId="36" borderId="34" xfId="49" applyFont="1" applyBorder="1" applyAlignment="1">
      <alignment horizontal="center" vertical="center" wrapText="1"/>
    </xf>
    <xf numFmtId="0" fontId="22" fillId="0" borderId="2" xfId="49" applyFont="1" applyFill="1" applyBorder="1" applyAlignment="1">
      <alignment horizontal="center" vertical="center" wrapText="1"/>
    </xf>
    <xf numFmtId="0" fontId="22" fillId="0" borderId="34" xfId="49" applyFont="1" applyFill="1" applyBorder="1" applyAlignment="1">
      <alignment horizontal="center" vertical="center" wrapText="1"/>
    </xf>
    <xf numFmtId="164" fontId="22" fillId="0" borderId="2" xfId="49" applyNumberFormat="1" applyFont="1" applyFill="1" applyBorder="1" applyAlignment="1" applyProtection="1">
      <alignment horizontal="center" vertical="center" wrapText="1"/>
      <protection locked="0"/>
    </xf>
    <xf numFmtId="164" fontId="22" fillId="0" borderId="34" xfId="49" applyNumberFormat="1" applyFont="1" applyFill="1" applyBorder="1" applyAlignment="1" applyProtection="1">
      <alignment horizontal="center" vertical="center" wrapText="1"/>
      <protection locked="0"/>
    </xf>
    <xf numFmtId="164" fontId="22" fillId="0" borderId="23" xfId="49" applyNumberFormat="1" applyFont="1" applyFill="1" applyBorder="1" applyAlignment="1" applyProtection="1">
      <alignment horizontal="center" vertical="center" wrapText="1"/>
      <protection locked="0"/>
    </xf>
    <xf numFmtId="164" fontId="22" fillId="0" borderId="37" xfId="49" applyNumberFormat="1" applyFont="1" applyFill="1" applyBorder="1" applyAlignment="1" applyProtection="1">
      <alignment horizontal="center" vertical="center" wrapText="1"/>
      <protection locked="0"/>
    </xf>
    <xf numFmtId="164" fontId="22" fillId="0" borderId="1" xfId="49" applyNumberFormat="1" applyFont="1" applyFill="1" applyBorder="1" applyAlignment="1" applyProtection="1">
      <alignment horizontal="center" vertical="center" wrapText="1"/>
      <protection locked="0"/>
    </xf>
    <xf numFmtId="9" fontId="22" fillId="0" borderId="2" xfId="56" applyFont="1" applyFill="1" applyBorder="1" applyAlignment="1" applyProtection="1">
      <alignment horizontal="center" vertical="center" wrapText="1"/>
      <protection locked="0"/>
    </xf>
    <xf numFmtId="9" fontId="22" fillId="0" borderId="34" xfId="56" applyFont="1" applyFill="1" applyBorder="1" applyAlignment="1" applyProtection="1">
      <alignment horizontal="center" vertical="center" wrapText="1"/>
      <protection locked="0"/>
    </xf>
    <xf numFmtId="0" fontId="47" fillId="0" borderId="6" xfId="53" applyFont="1" applyBorder="1" applyAlignment="1">
      <alignment horizontal="center" vertical="center" wrapText="1"/>
    </xf>
    <xf numFmtId="0" fontId="47" fillId="0" borderId="7" xfId="53" applyFont="1" applyBorder="1" applyAlignment="1">
      <alignment horizontal="center" vertical="center" wrapText="1"/>
    </xf>
    <xf numFmtId="0" fontId="47" fillId="0" borderId="4" xfId="53" applyFont="1" applyBorder="1" applyAlignment="1">
      <alignment horizontal="center" vertical="center" wrapText="1"/>
    </xf>
    <xf numFmtId="0" fontId="44" fillId="0" borderId="0" xfId="53" applyFont="1" applyFill="1" applyBorder="1" applyAlignment="1">
      <alignment horizontal="center" vertical="center"/>
    </xf>
    <xf numFmtId="49" fontId="22" fillId="0" borderId="1" xfId="53" applyNumberFormat="1" applyFont="1" applyFill="1" applyBorder="1" applyAlignment="1">
      <alignment horizontal="center" vertical="center" wrapText="1"/>
    </xf>
    <xf numFmtId="0" fontId="22" fillId="0" borderId="1" xfId="53" applyFont="1" applyBorder="1" applyAlignment="1">
      <alignment horizontal="center" vertical="center" wrapText="1"/>
    </xf>
    <xf numFmtId="0" fontId="33" fillId="0" borderId="1" xfId="53" applyFont="1" applyBorder="1" applyAlignment="1">
      <alignment horizontal="center"/>
    </xf>
    <xf numFmtId="1" fontId="2" fillId="0" borderId="23" xfId="51" applyNumberFormat="1" applyFont="1" applyBorder="1" applyAlignment="1">
      <alignment horizontal="center" vertical="center"/>
    </xf>
    <xf numFmtId="1" fontId="2" fillId="0" borderId="11" xfId="51" applyNumberFormat="1" applyFont="1" applyBorder="1" applyAlignment="1">
      <alignment horizontal="center" vertical="center"/>
    </xf>
    <xf numFmtId="1" fontId="2" fillId="0" borderId="8" xfId="51" applyNumberFormat="1" applyFont="1" applyBorder="1" applyAlignment="1">
      <alignment horizontal="center" vertical="center"/>
    </xf>
    <xf numFmtId="1" fontId="2" fillId="0" borderId="25" xfId="51" applyNumberFormat="1" applyFont="1" applyBorder="1" applyAlignment="1">
      <alignment horizontal="center" vertical="center"/>
    </xf>
    <xf numFmtId="1" fontId="2" fillId="0" borderId="9" xfId="51" applyNumberFormat="1" applyFont="1" applyBorder="1" applyAlignment="1">
      <alignment horizontal="center" vertical="center"/>
    </xf>
    <xf numFmtId="1" fontId="2" fillId="0" borderId="26" xfId="51" applyNumberFormat="1" applyFont="1" applyBorder="1" applyAlignment="1">
      <alignment horizontal="center" vertical="center"/>
    </xf>
    <xf numFmtId="0" fontId="22" fillId="0" borderId="2" xfId="53" applyFont="1" applyBorder="1" applyAlignment="1">
      <alignment horizontal="center" vertical="center" wrapText="1"/>
    </xf>
    <xf numFmtId="0" fontId="22" fillId="0" borderId="5" xfId="53" applyFont="1" applyBorder="1" applyAlignment="1">
      <alignment horizontal="center" vertical="center" wrapText="1"/>
    </xf>
    <xf numFmtId="0" fontId="46" fillId="0" borderId="2" xfId="53" applyFont="1" applyBorder="1" applyAlignment="1">
      <alignment horizontal="center" vertical="center" wrapText="1"/>
    </xf>
    <xf numFmtId="0" fontId="46" fillId="0" borderId="5" xfId="53" applyFont="1" applyBorder="1" applyAlignment="1">
      <alignment horizontal="center" vertical="center" wrapText="1"/>
    </xf>
    <xf numFmtId="0" fontId="38" fillId="0" borderId="0" xfId="1" applyFont="1" applyAlignment="1" applyProtection="1">
      <alignment horizontal="right" vertical="center"/>
      <protection locked="0"/>
    </xf>
    <xf numFmtId="0" fontId="38" fillId="0" borderId="0" xfId="1" applyFont="1" applyAlignment="1" applyProtection="1">
      <alignment horizontal="center" vertical="top"/>
      <protection locked="0"/>
    </xf>
  </cellXfs>
  <cellStyles count="79">
    <cellStyle name="20% - Accent1" xfId="6"/>
    <cellStyle name="20% - Accent2" xfId="7"/>
    <cellStyle name="20% - Accent3" xfId="8"/>
    <cellStyle name="20% - Accent4" xfId="9"/>
    <cellStyle name="20% - Accent5" xfId="10"/>
    <cellStyle name="20% - Accent6" xfId="11"/>
    <cellStyle name="40% - Accent1" xfId="12"/>
    <cellStyle name="40% - Accent2" xfId="13"/>
    <cellStyle name="40% - Accent3" xfId="14"/>
    <cellStyle name="40% - Accent4" xfId="15"/>
    <cellStyle name="40% - Accent5" xfId="16"/>
    <cellStyle name="40% - Accent6" xfId="17"/>
    <cellStyle name="60% - Accent1" xfId="18"/>
    <cellStyle name="60% - Accent2" xfId="19"/>
    <cellStyle name="60% - Accent3" xfId="20"/>
    <cellStyle name="60% - Accent4" xfId="21"/>
    <cellStyle name="60% - Accent5" xfId="22"/>
    <cellStyle name="60% - Accent6" xfId="23"/>
    <cellStyle name="Accent1" xfId="24"/>
    <cellStyle name="Accent2" xfId="25"/>
    <cellStyle name="Accent3" xfId="26"/>
    <cellStyle name="Accent4" xfId="27"/>
    <cellStyle name="Accent5" xfId="28"/>
    <cellStyle name="Accent6" xfId="29"/>
    <cellStyle name="Bad" xfId="30"/>
    <cellStyle name="Calculation" xfId="31"/>
    <cellStyle name="Check Cell" xfId="32"/>
    <cellStyle name="ex67" xfId="33"/>
    <cellStyle name="ex78" xfId="66"/>
    <cellStyle name="ex83" xfId="65"/>
    <cellStyle name="ex88" xfId="69"/>
    <cellStyle name="Explanatory Text" xfId="34"/>
    <cellStyle name="Good" xfId="35"/>
    <cellStyle name="Heading 1" xfId="36"/>
    <cellStyle name="Heading 2" xfId="37"/>
    <cellStyle name="Heading 3" xfId="38"/>
    <cellStyle name="Heading 4" xfId="39"/>
    <cellStyle name="Input" xfId="40"/>
    <cellStyle name="Linked Cell" xfId="41"/>
    <cellStyle name="Neutral" xfId="42"/>
    <cellStyle name="Note" xfId="43"/>
    <cellStyle name="Output" xfId="44"/>
    <cellStyle name="Title" xfId="45"/>
    <cellStyle name="Total" xfId="46"/>
    <cellStyle name="Warning Text" xfId="47"/>
    <cellStyle name="xl28" xfId="2"/>
    <cellStyle name="xl39" xfId="3"/>
    <cellStyle name="Гиперссылка" xfId="68" builtinId="8"/>
    <cellStyle name="Гиперссылка 2 10" xfId="74"/>
    <cellStyle name="Денежный" xfId="67" builtinId="4"/>
    <cellStyle name="Денежный 2" xfId="48"/>
    <cellStyle name="Обычный" xfId="0" builtinId="0"/>
    <cellStyle name="Обычный 10 10 2 2 2 6" xfId="76"/>
    <cellStyle name="Обычный 2" xfId="4"/>
    <cellStyle name="Обычный 2 2" xfId="49"/>
    <cellStyle name="Обычный 2 2 2" xfId="75"/>
    <cellStyle name="Обычный 2 3" xfId="50"/>
    <cellStyle name="Обычный 3" xfId="51"/>
    <cellStyle name="Обычный 3 2" xfId="52"/>
    <cellStyle name="Обычный 3 3" xfId="71"/>
    <cellStyle name="Обычный 3 35 2" xfId="77"/>
    <cellStyle name="Обычный 4" xfId="53"/>
    <cellStyle name="Обычный 4 2" xfId="70"/>
    <cellStyle name="Обычный 5" xfId="1"/>
    <cellStyle name="Обычный 5 18 2" xfId="78"/>
    <cellStyle name="Обычный 6" xfId="54"/>
    <cellStyle name="Обычный_План реализации 2 2" xfId="72"/>
    <cellStyle name="Плохой 2" xfId="55"/>
    <cellStyle name="Процентный" xfId="64" builtinId="5"/>
    <cellStyle name="Процентный 2" xfId="5"/>
    <cellStyle name="Процентный 2 2" xfId="56"/>
    <cellStyle name="Процентный 2 2 2" xfId="73"/>
    <cellStyle name="Процентный 3" xfId="57"/>
    <cellStyle name="Процентный 4" xfId="58"/>
    <cellStyle name="Стиль 1" xfId="59"/>
    <cellStyle name="Финансовый" xfId="63" builtinId="3"/>
    <cellStyle name="Финансовый 2" xfId="60"/>
    <cellStyle name="Финансовый 2 2" xfId="61"/>
    <cellStyle name="Финансовый 3" xfId="62"/>
  </cellStyles>
  <dxfs count="3">
    <dxf>
      <font>
        <b/>
        <i val="0"/>
        <condense val="0"/>
        <extend val="0"/>
        <outline val="0"/>
        <shadow val="0"/>
      </font>
    </dxf>
    <dxf>
      <font>
        <b/>
        <i val="0"/>
        <condense val="0"/>
        <extend val="0"/>
        <outline val="0"/>
        <shadow val="0"/>
      </font>
    </dxf>
    <dxf>
      <font>
        <b/>
        <i val="0"/>
        <condense val="0"/>
        <extend val="0"/>
        <outline val="0"/>
        <shadow val="0"/>
      </font>
    </dxf>
  </dxfs>
  <tableStyles count="0" defaultTableStyle="TableStyleMedium9" defaultPivotStyle="PivotStyleLight16"/>
  <colors>
    <mruColors>
      <color rgb="FF99FF99"/>
      <color rgb="FFCCFFCC"/>
      <color rgb="FFFF8181"/>
      <color rgb="FF75DBFF"/>
      <color rgb="FFFF5050"/>
      <color rgb="FF99FF33"/>
      <color rgb="FFEC3E3E"/>
      <color rgb="FFCCFFFF"/>
      <color rgb="FFFF00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ru-RU" sz="1400" b="1" i="0" u="none" strike="noStrike" baseline="0">
                <a:effectLst/>
              </a:rPr>
              <a:t>Динамика значений показателей по сравнению с 2018 годом </a:t>
            </a:r>
            <a:r>
              <a:rPr lang="ru-RU" sz="1400"/>
              <a:t>(К2)</a:t>
            </a:r>
          </a:p>
        </c:rich>
      </c:tx>
      <c:layout>
        <c:manualLayout>
          <c:xMode val="edge"/>
          <c:yMode val="edge"/>
          <c:x val="0.11790505217577858"/>
          <c:y val="3.0877057192047606E-2"/>
        </c:manualLayout>
      </c:layout>
      <c:overlay val="0"/>
    </c:title>
    <c:autoTitleDeleted val="0"/>
    <c:plotArea>
      <c:layout>
        <c:manualLayout>
          <c:layoutTarget val="inner"/>
          <c:xMode val="edge"/>
          <c:yMode val="edge"/>
          <c:x val="5.8669147846897224E-2"/>
          <c:y val="0.1720736438745136"/>
          <c:w val="0.35720681088386591"/>
          <c:h val="0.79489303297790215"/>
        </c:manualLayout>
      </c:layout>
      <c:doughnutChart>
        <c:varyColors val="1"/>
        <c:ser>
          <c:idx val="0"/>
          <c:order val="0"/>
          <c:spPr>
            <a:ln>
              <a:solidFill>
                <a:schemeClr val="tx1">
                  <a:lumMod val="65000"/>
                  <a:lumOff val="35000"/>
                </a:schemeClr>
              </a:solidFill>
            </a:ln>
          </c:spPr>
          <c:explosion val="5"/>
          <c:dLbls>
            <c:spPr>
              <a:solidFill>
                <a:schemeClr val="bg1"/>
              </a:solidFill>
              <a:ln>
                <a:solidFill>
                  <a:schemeClr val="tx1">
                    <a:lumMod val="65000"/>
                    <a:lumOff val="35000"/>
                  </a:schemeClr>
                </a:solidFill>
              </a:ln>
            </c:spPr>
            <c:txPr>
              <a:bodyPr/>
              <a:lstStyle/>
              <a:p>
                <a:pPr>
                  <a:defRPr sz="1100"/>
                </a:pPr>
                <a:endParaRPr lang="ru-RU"/>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Lit>
              <c:ptCount val="3"/>
              <c:pt idx="0">
                <c:v>Положительная динамика (К2≥101%)</c:v>
              </c:pt>
              <c:pt idx="1">
                <c:v>Значения на уровне 2018 года (К2 от 99 до 101%)</c:v>
              </c:pt>
              <c:pt idx="2">
                <c:v>Отрицательная динамика (К2 &lt; 99%)</c:v>
              </c:pt>
            </c:strLit>
          </c:cat>
          <c:val>
            <c:numRef>
              <c:f>'1. Показатели'!$Z$5:$AB$5</c:f>
            </c:numRef>
          </c:val>
          <c:extLst xmlns:c16r2="http://schemas.microsoft.com/office/drawing/2015/06/chart">
            <c:ext xmlns:c16="http://schemas.microsoft.com/office/drawing/2014/chart" uri="{C3380CC4-5D6E-409C-BE32-E72D297353CC}">
              <c16:uniqueId val="{00000000-A243-4AE3-850D-0E1E098BAEC5}"/>
            </c:ext>
          </c:extLst>
        </c:ser>
        <c:dLbls>
          <c:showLegendKey val="0"/>
          <c:showVal val="1"/>
          <c:showCatName val="0"/>
          <c:showSerName val="0"/>
          <c:showPercent val="0"/>
          <c:showBubbleSize val="0"/>
          <c:showLeaderLines val="1"/>
        </c:dLbls>
        <c:firstSliceAng val="0"/>
        <c:holeSize val="67"/>
      </c:doughnutChart>
      <c:spPr>
        <a:scene3d>
          <a:camera prst="orthographicFront"/>
          <a:lightRig rig="threePt" dir="t"/>
        </a:scene3d>
        <a:sp3d>
          <a:bevelT w="190500" h="38100"/>
        </a:sp3d>
      </c:spPr>
    </c:plotArea>
    <c:legend>
      <c:legendPos val="r"/>
      <c:layout>
        <c:manualLayout>
          <c:xMode val="edge"/>
          <c:yMode val="edge"/>
          <c:x val="0.44690083456706031"/>
          <c:y val="0.40515640114121232"/>
          <c:w val="0.541905747638461"/>
          <c:h val="0.47927409447498881"/>
        </c:manualLayout>
      </c:layout>
      <c:overlay val="0"/>
      <c:txPr>
        <a:bodyPr/>
        <a:lstStyle/>
        <a:p>
          <a:pPr rtl="0">
            <a:defRPr sz="1200"/>
          </a:pPr>
          <a:endParaRPr lang="ru-RU"/>
        </a:p>
      </c:txPr>
    </c:legend>
    <c:plotVisOnly val="1"/>
    <c:dispBlanksAs val="zero"/>
    <c:showDLblsOverMax val="0"/>
  </c:chart>
  <c:txPr>
    <a:bodyPr/>
    <a:lstStyle/>
    <a:p>
      <a:pPr>
        <a:defRPr>
          <a:latin typeface="Times New Roman" pitchFamily="18" charset="0"/>
          <a:cs typeface="Times New Roman" pitchFamily="18" charset="0"/>
        </a:defRPr>
      </a:pPr>
      <a:endParaRPr lang="ru-RU"/>
    </a:p>
  </c:txPr>
  <c:printSettings>
    <c:headerFooter/>
    <c:pageMargins b="0.7500000000000121" l="0.70000000000000062" r="0.70000000000000062" t="0.750000000000012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Достижение плановых значений показателей государственных программ (К1)</a:t>
            </a:r>
          </a:p>
        </c:rich>
      </c:tx>
      <c:layout>
        <c:manualLayout>
          <c:xMode val="edge"/>
          <c:yMode val="edge"/>
          <c:x val="0.17661424469629319"/>
          <c:y val="2.2622553676610299E-2"/>
        </c:manualLayout>
      </c:layout>
      <c:overlay val="0"/>
    </c:title>
    <c:autoTitleDeleted val="0"/>
    <c:plotArea>
      <c:layout>
        <c:manualLayout>
          <c:layoutTarget val="inner"/>
          <c:xMode val="edge"/>
          <c:yMode val="edge"/>
          <c:x val="5.8669147846897224E-2"/>
          <c:y val="0.1720736438745136"/>
          <c:w val="0.35720681088386597"/>
          <c:h val="0.79489303297790215"/>
        </c:manualLayout>
      </c:layout>
      <c:doughnutChart>
        <c:varyColors val="1"/>
        <c:ser>
          <c:idx val="0"/>
          <c:order val="0"/>
          <c:spPr>
            <a:ln>
              <a:solidFill>
                <a:schemeClr val="tx1">
                  <a:lumMod val="65000"/>
                  <a:lumOff val="35000"/>
                </a:schemeClr>
              </a:solidFill>
            </a:ln>
          </c:spPr>
          <c:explosion val="5"/>
          <c:dLbls>
            <c:spPr>
              <a:solidFill>
                <a:schemeClr val="bg1"/>
              </a:solidFill>
              <a:ln>
                <a:solidFill>
                  <a:schemeClr val="tx1">
                    <a:lumMod val="65000"/>
                    <a:lumOff val="35000"/>
                  </a:schemeClr>
                </a:solidFill>
              </a:ln>
            </c:sp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'1. Показатели'!$S$4:$W$4</c:f>
            </c:strRef>
          </c:cat>
          <c:val>
            <c:numRef>
              <c:f>'1. Показатели'!$S$5:$W$5</c:f>
            </c:numRef>
          </c:val>
          <c:extLst xmlns:c16r2="http://schemas.microsoft.com/office/drawing/2015/06/chart">
            <c:ext xmlns:c16="http://schemas.microsoft.com/office/drawing/2014/chart" uri="{C3380CC4-5D6E-409C-BE32-E72D297353CC}">
              <c16:uniqueId val="{00000000-6552-4540-ABEA-F769924531B2}"/>
            </c:ext>
          </c:extLst>
        </c:ser>
        <c:dLbls>
          <c:showLegendKey val="0"/>
          <c:showVal val="1"/>
          <c:showCatName val="0"/>
          <c:showSerName val="0"/>
          <c:showPercent val="0"/>
          <c:showBubbleSize val="0"/>
          <c:showLeaderLines val="1"/>
        </c:dLbls>
        <c:firstSliceAng val="0"/>
        <c:holeSize val="67"/>
      </c:doughnutChart>
      <c:spPr>
        <a:scene3d>
          <a:camera prst="orthographicFront"/>
          <a:lightRig rig="threePt" dir="t"/>
        </a:scene3d>
        <a:sp3d>
          <a:bevelT w="190500" h="38100"/>
        </a:sp3d>
      </c:spPr>
    </c:plotArea>
    <c:legend>
      <c:legendPos val="r"/>
      <c:layout>
        <c:manualLayout>
          <c:xMode val="edge"/>
          <c:yMode val="edge"/>
          <c:x val="0.46248503250819123"/>
          <c:y val="0.40515640114121232"/>
          <c:w val="0.32945789244344442"/>
          <c:h val="0.58762655787457418"/>
        </c:manualLayout>
      </c:layout>
      <c:overlay val="0"/>
      <c:txPr>
        <a:bodyPr/>
        <a:lstStyle/>
        <a:p>
          <a:pPr rtl="0">
            <a:defRPr/>
          </a:pPr>
          <a:endParaRPr lang="ru-RU"/>
        </a:p>
      </c:txPr>
    </c:legend>
    <c:plotVisOnly val="1"/>
    <c:dispBlanksAs val="zero"/>
    <c:showDLblsOverMax val="0"/>
  </c:chart>
  <c:spPr>
    <a:ln>
      <a:noFill/>
    </a:ln>
  </c:spPr>
  <c:txPr>
    <a:bodyPr/>
    <a:lstStyle/>
    <a:p>
      <a:pPr>
        <a:defRPr>
          <a:latin typeface="Muller Narrow Light" panose="00000400000000000000" pitchFamily="50" charset="-52"/>
          <a:cs typeface="Times New Roman" pitchFamily="18" charset="0"/>
        </a:defRPr>
      </a:pPr>
      <a:endParaRPr lang="ru-RU"/>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Динамика значений показателей по сравнению с 2022 годом (К2) </a:t>
            </a:r>
          </a:p>
        </c:rich>
      </c:tx>
      <c:layout>
        <c:manualLayout>
          <c:xMode val="edge"/>
          <c:yMode val="edge"/>
          <c:x val="0.12240376457852523"/>
          <c:y val="3.5276837386353191E-2"/>
        </c:manualLayout>
      </c:layout>
      <c:overlay val="0"/>
    </c:title>
    <c:autoTitleDeleted val="0"/>
    <c:plotArea>
      <c:layout>
        <c:manualLayout>
          <c:layoutTarget val="inner"/>
          <c:xMode val="edge"/>
          <c:yMode val="edge"/>
          <c:x val="5.1421483323092224E-2"/>
          <c:y val="0.26721429154792148"/>
          <c:w val="0.35809339482427388"/>
          <c:h val="0.63443818300872734"/>
        </c:manualLayout>
      </c:layout>
      <c:doughnutChart>
        <c:varyColors val="1"/>
        <c:ser>
          <c:idx val="0"/>
          <c:order val="0"/>
          <c:explosion val="4"/>
          <c:dLbls>
            <c:spPr>
              <a:solidFill>
                <a:schemeClr val="bg1"/>
              </a:solidFill>
            </c:sp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'1. Показатели'!$Z$4:$AB$4</c:f>
            </c:strRef>
          </c:cat>
          <c:val>
            <c:numRef>
              <c:f>'1. Показатели'!$Z$5:$AB$5</c:f>
            </c:numRef>
          </c:val>
          <c:extLst xmlns:c16r2="http://schemas.microsoft.com/office/drawing/2015/06/chart">
            <c:ext xmlns:c16="http://schemas.microsoft.com/office/drawing/2014/chart" uri="{C3380CC4-5D6E-409C-BE32-E72D297353CC}">
              <c16:uniqueId val="{00000000-E6ED-45EB-9C41-051674C916A5}"/>
            </c:ext>
          </c:extLst>
        </c:ser>
        <c:dLbls>
          <c:showLegendKey val="0"/>
          <c:showVal val="0"/>
          <c:showCatName val="0"/>
          <c:showSerName val="0"/>
          <c:showPercent val="1"/>
          <c:showBubbleSize val="0"/>
          <c:showLeaderLines val="1"/>
        </c:dLbls>
        <c:firstSliceAng val="0"/>
        <c:holeSize val="50"/>
      </c:doughnutChart>
    </c:plotArea>
    <c:legend>
      <c:legendPos val="r"/>
      <c:layout>
        <c:manualLayout>
          <c:xMode val="edge"/>
          <c:yMode val="edge"/>
          <c:x val="0.43217803021419338"/>
          <c:y val="0.41530713273527331"/>
          <c:w val="0.3217434120426263"/>
          <c:h val="0.35068007791406086"/>
        </c:manualLayout>
      </c:layout>
      <c:overlay val="0"/>
    </c:legend>
    <c:plotVisOnly val="1"/>
    <c:dispBlanksAs val="zero"/>
    <c:showDLblsOverMax val="0"/>
  </c:chart>
  <c:spPr>
    <a:ln>
      <a:noFill/>
    </a:ln>
  </c:spPr>
  <c:txPr>
    <a:bodyPr/>
    <a:lstStyle/>
    <a:p>
      <a:pPr>
        <a:defRPr>
          <a:latin typeface="Muller Narrow Light" panose="00000400000000000000" pitchFamily="50" charset="-52"/>
        </a:defRPr>
      </a:pPr>
      <a:endParaRPr lang="ru-RU"/>
    </a:p>
  </c:txPr>
  <c:printSettings>
    <c:headerFooter/>
    <c:pageMargins b="0.750000000000004" l="0.70000000000000062" r="0.70000000000000062" t="0.75000000000000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ru-RU" sz="1400" b="1" i="0" u="none" strike="noStrike" baseline="0">
                <a:effectLst/>
              </a:rPr>
              <a:t>Выполнение мероприятий государственных программ </a:t>
            </a:r>
            <a:r>
              <a:rPr lang="ru-RU" sz="1400"/>
              <a:t>(К3)</a:t>
            </a:r>
          </a:p>
        </c:rich>
      </c:tx>
      <c:layout>
        <c:manualLayout>
          <c:xMode val="edge"/>
          <c:yMode val="edge"/>
          <c:x val="0.11790505217577858"/>
          <c:y val="3.0877057192047606E-2"/>
        </c:manualLayout>
      </c:layout>
      <c:overlay val="0"/>
    </c:title>
    <c:autoTitleDeleted val="0"/>
    <c:plotArea>
      <c:layout>
        <c:manualLayout>
          <c:layoutTarget val="inner"/>
          <c:xMode val="edge"/>
          <c:yMode val="edge"/>
          <c:x val="9.2660230019364229E-2"/>
          <c:y val="0.25031698734408286"/>
          <c:w val="0.35720681088386586"/>
          <c:h val="0.79489303297790215"/>
        </c:manualLayout>
      </c:layout>
      <c:doughnutChart>
        <c:varyColors val="1"/>
        <c:ser>
          <c:idx val="1"/>
          <c:order val="1"/>
          <c:dPt>
            <c:idx val="0"/>
            <c:bubble3D val="0"/>
            <c:spPr>
              <a:solidFill>
                <a:srgbClr val="92D050"/>
              </a:solidFill>
            </c:spPr>
            <c:extLst xmlns:c16r2="http://schemas.microsoft.com/office/drawing/2015/06/chart">
              <c:ext xmlns:c16="http://schemas.microsoft.com/office/drawing/2014/chart" uri="{C3380CC4-5D6E-409C-BE32-E72D297353CC}">
                <c16:uniqueId val="{00000001-6D67-4378-8359-27EF5CAFC4F6}"/>
              </c:ext>
            </c:extLst>
          </c:dPt>
          <c:dPt>
            <c:idx val="1"/>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2-6D67-4378-8359-27EF5CAFC4F6}"/>
              </c:ext>
            </c:extLst>
          </c:dPt>
          <c:dPt>
            <c:idx val="2"/>
            <c:bubble3D val="0"/>
            <c:spPr>
              <a:solidFill>
                <a:srgbClr val="EC3E3E"/>
              </a:solidFill>
            </c:spPr>
            <c:extLst xmlns:c16r2="http://schemas.microsoft.com/office/drawing/2015/06/chart">
              <c:ext xmlns:c16="http://schemas.microsoft.com/office/drawing/2014/chart" uri="{C3380CC4-5D6E-409C-BE32-E72D297353CC}">
                <c16:uniqueId val="{00000003-6D67-4378-8359-27EF5CAFC4F6}"/>
              </c:ext>
            </c:extLst>
          </c:dPt>
          <c:dLbls>
            <c:dLbl>
              <c:idx val="2"/>
              <c:layout>
                <c:manualLayout>
                  <c:x val="-1.893939393939394E-3"/>
                  <c:y val="0"/>
                </c:manualLayout>
              </c:layout>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3-6D67-4378-8359-27EF5CAFC4F6}"/>
                </c:ext>
                <c:ext xmlns:c15="http://schemas.microsoft.com/office/drawing/2012/chart" uri="{CE6537A1-D6FC-4f65-9D91-7224C49458BB}">
                  <c15:layout/>
                </c:ext>
              </c:extLst>
            </c:dLbl>
            <c:spPr>
              <a:solidFill>
                <a:schemeClr val="bg1"/>
              </a:solidFill>
            </c:spPr>
            <c:showLegendKey val="0"/>
            <c:showVal val="1"/>
            <c:showCatName val="0"/>
            <c:showSerName val="0"/>
            <c:showPercent val="1"/>
            <c:showBubbleSize val="0"/>
            <c:showLeaderLines val="1"/>
            <c:extLst xmlns:c16r2="http://schemas.microsoft.com/office/drawing/2015/06/chart">
              <c:ext xmlns:c15="http://schemas.microsoft.com/office/drawing/2012/chart" uri="{CE6537A1-D6FC-4f65-9D91-7224C49458BB}">
                <c15:layout/>
              </c:ext>
            </c:extLst>
          </c:dLbls>
          <c:cat>
            <c:strRef>
              <c:f>'4. Оценка'!$O$7:$Q$7</c:f>
              <c:strCache>
                <c:ptCount val="3"/>
                <c:pt idx="0">
                  <c:v>Да </c:v>
                </c:pt>
                <c:pt idx="1">
                  <c:v>Частично</c:v>
                </c:pt>
                <c:pt idx="2">
                  <c:v>Нет</c:v>
                </c:pt>
              </c:strCache>
            </c:strRef>
          </c:cat>
          <c:val>
            <c:numRef>
              <c:f>'4. Оценка'!$O$9:$Q$9</c:f>
              <c:numCache>
                <c:formatCode>0</c:formatCode>
                <c:ptCount val="3"/>
                <c:pt idx="0">
                  <c:v>842</c:v>
                </c:pt>
                <c:pt idx="1">
                  <c:v>157</c:v>
                </c:pt>
                <c:pt idx="2">
                  <c:v>51</c:v>
                </c:pt>
              </c:numCache>
            </c:numRef>
          </c:val>
          <c:extLst xmlns:c16r2="http://schemas.microsoft.com/office/drawing/2015/06/chart">
            <c:ext xmlns:c16="http://schemas.microsoft.com/office/drawing/2014/chart" uri="{C3380CC4-5D6E-409C-BE32-E72D297353CC}">
              <c16:uniqueId val="{00000004-6D67-4378-8359-27EF5CAFC4F6}"/>
            </c:ext>
          </c:extLst>
        </c:ser>
        <c:dLbls>
          <c:showLegendKey val="0"/>
          <c:showVal val="1"/>
          <c:showCatName val="0"/>
          <c:showSerName val="0"/>
          <c:showPercent val="0"/>
          <c:showBubbleSize val="0"/>
          <c:showLeaderLines val="1"/>
        </c:dLbls>
        <c:firstSliceAng val="0"/>
        <c:holeSize val="50"/>
        <c:extLst xmlns:c16r2="http://schemas.microsoft.com/office/drawing/2015/06/chart">
          <c:ext xmlns:c15="http://schemas.microsoft.com/office/drawing/2012/chart" uri="{02D57815-91ED-43cb-92C2-25804820EDAC}">
            <c15:filteredPieSeries>
              <c15:ser>
                <c:idx val="0"/>
                <c:order val="0"/>
                <c:spPr>
                  <a:ln>
                    <a:solidFill>
                      <a:schemeClr val="tx1">
                        <a:lumMod val="65000"/>
                        <a:lumOff val="35000"/>
                      </a:schemeClr>
                    </a:solidFill>
                  </a:ln>
                </c:spPr>
                <c:dLbls>
                  <c:spPr>
                    <a:solidFill>
                      <a:schemeClr val="bg1"/>
                    </a:solidFill>
                    <a:ln>
                      <a:solidFill>
                        <a:schemeClr val="tx1">
                          <a:lumMod val="65000"/>
                          <a:lumOff val="35000"/>
                        </a:schemeClr>
                      </a:solidFill>
                    </a:ln>
                  </c:spPr>
                  <c:txPr>
                    <a:bodyPr/>
                    <a:lstStyle/>
                    <a:p>
                      <a:pPr>
                        <a:defRPr sz="1100"/>
                      </a:pPr>
                      <a:endParaRPr lang="ru-RU"/>
                    </a:p>
                  </c:txPr>
                  <c:showLegendKey val="0"/>
                  <c:showVal val="1"/>
                  <c:showCatName val="0"/>
                  <c:showSerName val="0"/>
                  <c:showPercent val="0"/>
                  <c:showBubbleSize val="0"/>
                  <c:showLeaderLines val="1"/>
                  <c:extLst xmlns:c16r2="http://schemas.microsoft.com/office/drawing/2015/06/chart">
                    <c:ext uri="{CE6537A1-D6FC-4f65-9D91-7224C49458BB}"/>
                  </c:extLst>
                </c:dLbls>
                <c:cat>
                  <c:strRef>
                    <c:extLst xmlns:c16r2="http://schemas.microsoft.com/office/drawing/2015/06/chart">
                      <c:ext uri="{02D57815-91ED-43cb-92C2-25804820EDAC}">
                        <c15:formulaRef>
                          <c15:sqref>'4. Оценка'!$O$7:$Q$7</c15:sqref>
                        </c15:formulaRef>
                      </c:ext>
                    </c:extLst>
                    <c:strCache>
                      <c:ptCount val="3"/>
                      <c:pt idx="0">
                        <c:v>Да </c:v>
                      </c:pt>
                      <c:pt idx="1">
                        <c:v>Частично</c:v>
                      </c:pt>
                      <c:pt idx="2">
                        <c:v>Нет</c:v>
                      </c:pt>
                    </c:strCache>
                  </c:strRef>
                </c:cat>
                <c:val>
                  <c:numRef>
                    <c:extLst xmlns:c16r2="http://schemas.microsoft.com/office/drawing/2015/06/chart">
                      <c:ext uri="{02D57815-91ED-43cb-92C2-25804820EDAC}">
                        <c15:formulaRef>
                          <c15:sqref>'4. Оценка'!$O$8:$Q$8</c15:sqref>
                        </c15:formulaRef>
                      </c:ext>
                    </c:extLst>
                    <c:numCache>
                      <c:formatCode>General</c:formatCode>
                      <c:ptCount val="3"/>
                    </c:numCache>
                  </c:numRef>
                </c:val>
                <c:extLst xmlns:c16r2="http://schemas.microsoft.com/office/drawing/2015/06/chart">
                  <c:ext xmlns:c16="http://schemas.microsoft.com/office/drawing/2014/chart" uri="{C3380CC4-5D6E-409C-BE32-E72D297353CC}">
                    <c16:uniqueId val="{00000000-6D67-4378-8359-27EF5CAFC4F6}"/>
                  </c:ext>
                </c:extLst>
              </c15:ser>
            </c15:filteredPieSeries>
          </c:ext>
        </c:extLst>
      </c:doughnutChart>
      <c:spPr>
        <a:scene3d>
          <a:camera prst="orthographicFront"/>
          <a:lightRig rig="threePt" dir="t"/>
        </a:scene3d>
        <a:sp3d>
          <a:bevelT w="190500" h="38100"/>
        </a:sp3d>
      </c:spPr>
    </c:plotArea>
    <c:legend>
      <c:legendPos val="r"/>
      <c:layout>
        <c:manualLayout>
          <c:xMode val="edge"/>
          <c:yMode val="edge"/>
          <c:x val="0.68241085406623148"/>
          <c:y val="0.31639898277044509"/>
          <c:w val="0.16057621224070923"/>
          <c:h val="0.21882444576226173"/>
        </c:manualLayout>
      </c:layout>
      <c:overlay val="0"/>
      <c:txPr>
        <a:bodyPr/>
        <a:lstStyle/>
        <a:p>
          <a:pPr rtl="0">
            <a:defRPr sz="1200"/>
          </a:pPr>
          <a:endParaRPr lang="ru-RU"/>
        </a:p>
      </c:txPr>
    </c:legend>
    <c:plotVisOnly val="1"/>
    <c:dispBlanksAs val="zero"/>
    <c:showDLblsOverMax val="0"/>
  </c:chart>
  <c:txPr>
    <a:bodyPr/>
    <a:lstStyle/>
    <a:p>
      <a:pPr>
        <a:defRPr>
          <a:latin typeface="Times New Roman" pitchFamily="18" charset="0"/>
          <a:cs typeface="Times New Roman" pitchFamily="18" charset="0"/>
        </a:defRPr>
      </a:pPr>
      <a:endParaRPr lang="ru-RU"/>
    </a:p>
  </c:txPr>
  <c:printSettings>
    <c:headerFooter/>
    <c:pageMargins b="0.75000000000001199" l="0.70000000000000062" r="0.70000000000000062" t="0.75000000000001199"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0</xdr:colOff>
      <xdr:row>212</xdr:row>
      <xdr:rowOff>0</xdr:rowOff>
    </xdr:from>
    <xdr:to>
      <xdr:col>3</xdr:col>
      <xdr:colOff>447675</xdr:colOff>
      <xdr:row>213</xdr:row>
      <xdr:rowOff>0</xdr:rowOff>
    </xdr:to>
    <xdr:grpSp>
      <xdr:nvGrpSpPr>
        <xdr:cNvPr id="4" name="Group 3">
          <a:extLst>
            <a:ext uri="{FF2B5EF4-FFF2-40B4-BE49-F238E27FC236}">
              <a16:creationId xmlns="" xmlns:a16="http://schemas.microsoft.com/office/drawing/2014/main" id="{00000000-0008-0000-0000-000004000000}"/>
            </a:ext>
          </a:extLst>
        </xdr:cNvPr>
        <xdr:cNvGrpSpPr>
          <a:grpSpLocks noChangeAspect="1"/>
        </xdr:cNvGrpSpPr>
      </xdr:nvGrpSpPr>
      <xdr:grpSpPr bwMode="auto">
        <a:xfrm>
          <a:off x="3309938" y="151983281"/>
          <a:ext cx="447675" cy="678657"/>
          <a:chOff x="4846" y="2659"/>
          <a:chExt cx="7140" cy="4320"/>
        </a:xfrm>
      </xdr:grpSpPr>
      <xdr:sp macro="" textlink="">
        <xdr:nvSpPr>
          <xdr:cNvPr id="5" name="AutoShape 4">
            <a:extLst>
              <a:ext uri="{FF2B5EF4-FFF2-40B4-BE49-F238E27FC236}">
                <a16:creationId xmlns="" xmlns:a16="http://schemas.microsoft.com/office/drawing/2014/main" id="{00000000-0008-0000-0000-00000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30</xdr:col>
      <xdr:colOff>281610</xdr:colOff>
      <xdr:row>164</xdr:row>
      <xdr:rowOff>786848</xdr:rowOff>
    </xdr:from>
    <xdr:to>
      <xdr:col>42</xdr:col>
      <xdr:colOff>273844</xdr:colOff>
      <xdr:row>165</xdr:row>
      <xdr:rowOff>0</xdr:rowOff>
    </xdr:to>
    <xdr:graphicFrame macro="">
      <xdr:nvGraphicFramePr>
        <xdr:cNvPr id="11" name="Диаграмма 10">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169900</xdr:colOff>
      <xdr:row>518</xdr:row>
      <xdr:rowOff>86874</xdr:rowOff>
    </xdr:from>
    <xdr:to>
      <xdr:col>26</xdr:col>
      <xdr:colOff>707599</xdr:colOff>
      <xdr:row>535</xdr:row>
      <xdr:rowOff>47626</xdr:rowOff>
    </xdr:to>
    <xdr:graphicFrame macro="">
      <xdr:nvGraphicFramePr>
        <xdr:cNvPr id="12" name="Диаграмма 11">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140709</xdr:colOff>
      <xdr:row>498</xdr:row>
      <xdr:rowOff>136815</xdr:rowOff>
    </xdr:from>
    <xdr:to>
      <xdr:col>26</xdr:col>
      <xdr:colOff>317139</xdr:colOff>
      <xdr:row>516</xdr:row>
      <xdr:rowOff>57151</xdr:rowOff>
    </xdr:to>
    <xdr:graphicFrame macro="">
      <xdr:nvGraphicFramePr>
        <xdr:cNvPr id="7" name="Диаграмма 6">
          <a:extLst>
            <a:ext uri="{FF2B5EF4-FFF2-40B4-BE49-F238E27FC236}">
              <a16:creationId xmlns=""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213</xdr:row>
      <xdr:rowOff>0</xdr:rowOff>
    </xdr:from>
    <xdr:to>
      <xdr:col>3</xdr:col>
      <xdr:colOff>447675</xdr:colOff>
      <xdr:row>214</xdr:row>
      <xdr:rowOff>0</xdr:rowOff>
    </xdr:to>
    <xdr:grpSp>
      <xdr:nvGrpSpPr>
        <xdr:cNvPr id="8" name="Group 3">
          <a:extLst>
            <a:ext uri="{FF2B5EF4-FFF2-40B4-BE49-F238E27FC236}">
              <a16:creationId xmlns="" xmlns:a16="http://schemas.microsoft.com/office/drawing/2014/main" id="{00000000-0008-0000-0000-000008000000}"/>
            </a:ext>
          </a:extLst>
        </xdr:cNvPr>
        <xdr:cNvGrpSpPr>
          <a:grpSpLocks noChangeAspect="1"/>
        </xdr:cNvGrpSpPr>
      </xdr:nvGrpSpPr>
      <xdr:grpSpPr bwMode="auto">
        <a:xfrm>
          <a:off x="3309938" y="152661938"/>
          <a:ext cx="447675" cy="571500"/>
          <a:chOff x="4846" y="2659"/>
          <a:chExt cx="7140" cy="4320"/>
        </a:xfrm>
      </xdr:grpSpPr>
      <xdr:sp macro="" textlink="">
        <xdr:nvSpPr>
          <xdr:cNvPr id="9" name="AutoShape 4">
            <a:extLst>
              <a:ext uri="{FF2B5EF4-FFF2-40B4-BE49-F238E27FC236}">
                <a16:creationId xmlns="" xmlns:a16="http://schemas.microsoft.com/office/drawing/2014/main"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222</xdr:row>
      <xdr:rowOff>0</xdr:rowOff>
    </xdr:from>
    <xdr:to>
      <xdr:col>3</xdr:col>
      <xdr:colOff>447675</xdr:colOff>
      <xdr:row>223</xdr:row>
      <xdr:rowOff>0</xdr:rowOff>
    </xdr:to>
    <xdr:grpSp>
      <xdr:nvGrpSpPr>
        <xdr:cNvPr id="14" name="Group 3">
          <a:extLst>
            <a:ext uri="{FF2B5EF4-FFF2-40B4-BE49-F238E27FC236}">
              <a16:creationId xmlns="" xmlns:a16="http://schemas.microsoft.com/office/drawing/2014/main" id="{00000000-0008-0000-0000-00000E000000}"/>
            </a:ext>
          </a:extLst>
        </xdr:cNvPr>
        <xdr:cNvGrpSpPr>
          <a:grpSpLocks noChangeAspect="1"/>
        </xdr:cNvGrpSpPr>
      </xdr:nvGrpSpPr>
      <xdr:grpSpPr bwMode="auto">
        <a:xfrm>
          <a:off x="3309938" y="157329188"/>
          <a:ext cx="447675" cy="1035843"/>
          <a:chOff x="4846" y="2659"/>
          <a:chExt cx="7140" cy="4320"/>
        </a:xfrm>
      </xdr:grpSpPr>
      <xdr:sp macro="" textlink="">
        <xdr:nvSpPr>
          <xdr:cNvPr id="15" name="AutoShape 4">
            <a:extLst>
              <a:ext uri="{FF2B5EF4-FFF2-40B4-BE49-F238E27FC236}">
                <a16:creationId xmlns="" xmlns:a16="http://schemas.microsoft.com/office/drawing/2014/main" id="{00000000-0008-0000-0000-00000F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223</xdr:row>
      <xdr:rowOff>0</xdr:rowOff>
    </xdr:from>
    <xdr:to>
      <xdr:col>3</xdr:col>
      <xdr:colOff>447675</xdr:colOff>
      <xdr:row>224</xdr:row>
      <xdr:rowOff>0</xdr:rowOff>
    </xdr:to>
    <xdr:grpSp>
      <xdr:nvGrpSpPr>
        <xdr:cNvPr id="16" name="Group 3">
          <a:extLst>
            <a:ext uri="{FF2B5EF4-FFF2-40B4-BE49-F238E27FC236}">
              <a16:creationId xmlns="" xmlns:a16="http://schemas.microsoft.com/office/drawing/2014/main" id="{00000000-0008-0000-0000-000010000000}"/>
            </a:ext>
          </a:extLst>
        </xdr:cNvPr>
        <xdr:cNvGrpSpPr>
          <a:grpSpLocks noChangeAspect="1"/>
        </xdr:cNvGrpSpPr>
      </xdr:nvGrpSpPr>
      <xdr:grpSpPr bwMode="auto">
        <a:xfrm>
          <a:off x="3309938" y="158365031"/>
          <a:ext cx="447675" cy="857250"/>
          <a:chOff x="4846" y="2659"/>
          <a:chExt cx="7140" cy="4320"/>
        </a:xfrm>
      </xdr:grpSpPr>
      <xdr:sp macro="" textlink="">
        <xdr:nvSpPr>
          <xdr:cNvPr id="17" name="AutoShape 4">
            <a:extLst>
              <a:ext uri="{FF2B5EF4-FFF2-40B4-BE49-F238E27FC236}">
                <a16:creationId xmlns="" xmlns:a16="http://schemas.microsoft.com/office/drawing/2014/main" id="{00000000-0008-0000-0000-000011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212</xdr:row>
      <xdr:rowOff>0</xdr:rowOff>
    </xdr:from>
    <xdr:to>
      <xdr:col>3</xdr:col>
      <xdr:colOff>447675</xdr:colOff>
      <xdr:row>213</xdr:row>
      <xdr:rowOff>0</xdr:rowOff>
    </xdr:to>
    <xdr:grpSp>
      <xdr:nvGrpSpPr>
        <xdr:cNvPr id="18" name="Group 3">
          <a:extLst>
            <a:ext uri="{FF2B5EF4-FFF2-40B4-BE49-F238E27FC236}">
              <a16:creationId xmlns="" xmlns:a16="http://schemas.microsoft.com/office/drawing/2014/main" id="{00000000-0008-0000-0000-000012000000}"/>
            </a:ext>
          </a:extLst>
        </xdr:cNvPr>
        <xdr:cNvGrpSpPr>
          <a:grpSpLocks noChangeAspect="1"/>
        </xdr:cNvGrpSpPr>
      </xdr:nvGrpSpPr>
      <xdr:grpSpPr bwMode="auto">
        <a:xfrm>
          <a:off x="3309938" y="151983281"/>
          <a:ext cx="447675" cy="678657"/>
          <a:chOff x="4846" y="2659"/>
          <a:chExt cx="7140" cy="4320"/>
        </a:xfrm>
      </xdr:grpSpPr>
      <xdr:sp macro="" textlink="">
        <xdr:nvSpPr>
          <xdr:cNvPr id="19" name="AutoShape 4">
            <a:extLst>
              <a:ext uri="{FF2B5EF4-FFF2-40B4-BE49-F238E27FC236}">
                <a16:creationId xmlns="" xmlns:a16="http://schemas.microsoft.com/office/drawing/2014/main" id="{00000000-0008-0000-0000-000013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213</xdr:row>
      <xdr:rowOff>0</xdr:rowOff>
    </xdr:from>
    <xdr:to>
      <xdr:col>3</xdr:col>
      <xdr:colOff>447675</xdr:colOff>
      <xdr:row>214</xdr:row>
      <xdr:rowOff>0</xdr:rowOff>
    </xdr:to>
    <xdr:grpSp>
      <xdr:nvGrpSpPr>
        <xdr:cNvPr id="20" name="Group 3">
          <a:extLst>
            <a:ext uri="{FF2B5EF4-FFF2-40B4-BE49-F238E27FC236}">
              <a16:creationId xmlns="" xmlns:a16="http://schemas.microsoft.com/office/drawing/2014/main" id="{00000000-0008-0000-0000-000014000000}"/>
            </a:ext>
          </a:extLst>
        </xdr:cNvPr>
        <xdr:cNvGrpSpPr>
          <a:grpSpLocks noChangeAspect="1"/>
        </xdr:cNvGrpSpPr>
      </xdr:nvGrpSpPr>
      <xdr:grpSpPr bwMode="auto">
        <a:xfrm>
          <a:off x="3309938" y="152661938"/>
          <a:ext cx="447675" cy="571500"/>
          <a:chOff x="4846" y="2659"/>
          <a:chExt cx="7140" cy="4320"/>
        </a:xfrm>
      </xdr:grpSpPr>
      <xdr:sp macro="" textlink="">
        <xdr:nvSpPr>
          <xdr:cNvPr id="21" name="AutoShape 4">
            <a:extLst>
              <a:ext uri="{FF2B5EF4-FFF2-40B4-BE49-F238E27FC236}">
                <a16:creationId xmlns="" xmlns:a16="http://schemas.microsoft.com/office/drawing/2014/main"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222</xdr:row>
      <xdr:rowOff>0</xdr:rowOff>
    </xdr:from>
    <xdr:to>
      <xdr:col>3</xdr:col>
      <xdr:colOff>447675</xdr:colOff>
      <xdr:row>223</xdr:row>
      <xdr:rowOff>0</xdr:rowOff>
    </xdr:to>
    <xdr:grpSp>
      <xdr:nvGrpSpPr>
        <xdr:cNvPr id="24" name="Group 3">
          <a:extLst>
            <a:ext uri="{FF2B5EF4-FFF2-40B4-BE49-F238E27FC236}">
              <a16:creationId xmlns="" xmlns:a16="http://schemas.microsoft.com/office/drawing/2014/main" id="{00000000-0008-0000-0000-000018000000}"/>
            </a:ext>
          </a:extLst>
        </xdr:cNvPr>
        <xdr:cNvGrpSpPr>
          <a:grpSpLocks noChangeAspect="1"/>
        </xdr:cNvGrpSpPr>
      </xdr:nvGrpSpPr>
      <xdr:grpSpPr bwMode="auto">
        <a:xfrm>
          <a:off x="3309938" y="157329188"/>
          <a:ext cx="447675" cy="1035843"/>
          <a:chOff x="4846" y="2659"/>
          <a:chExt cx="7140" cy="4320"/>
        </a:xfrm>
      </xdr:grpSpPr>
      <xdr:sp macro="" textlink="">
        <xdr:nvSpPr>
          <xdr:cNvPr id="25" name="AutoShape 4">
            <a:extLst>
              <a:ext uri="{FF2B5EF4-FFF2-40B4-BE49-F238E27FC236}">
                <a16:creationId xmlns="" xmlns:a16="http://schemas.microsoft.com/office/drawing/2014/main" id="{00000000-0008-0000-0000-00001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223</xdr:row>
      <xdr:rowOff>0</xdr:rowOff>
    </xdr:from>
    <xdr:to>
      <xdr:col>3</xdr:col>
      <xdr:colOff>447675</xdr:colOff>
      <xdr:row>224</xdr:row>
      <xdr:rowOff>0</xdr:rowOff>
    </xdr:to>
    <xdr:grpSp>
      <xdr:nvGrpSpPr>
        <xdr:cNvPr id="26" name="Group 3">
          <a:extLst>
            <a:ext uri="{FF2B5EF4-FFF2-40B4-BE49-F238E27FC236}">
              <a16:creationId xmlns="" xmlns:a16="http://schemas.microsoft.com/office/drawing/2014/main" id="{00000000-0008-0000-0000-00001A000000}"/>
            </a:ext>
          </a:extLst>
        </xdr:cNvPr>
        <xdr:cNvGrpSpPr>
          <a:grpSpLocks noChangeAspect="1"/>
        </xdr:cNvGrpSpPr>
      </xdr:nvGrpSpPr>
      <xdr:grpSpPr bwMode="auto">
        <a:xfrm>
          <a:off x="3309938" y="158365031"/>
          <a:ext cx="447675" cy="857250"/>
          <a:chOff x="4846" y="2659"/>
          <a:chExt cx="7140" cy="4320"/>
        </a:xfrm>
      </xdr:grpSpPr>
      <xdr:sp macro="" textlink="">
        <xdr:nvSpPr>
          <xdr:cNvPr id="27" name="AutoShape 4">
            <a:extLst>
              <a:ext uri="{FF2B5EF4-FFF2-40B4-BE49-F238E27FC236}">
                <a16:creationId xmlns="" xmlns:a16="http://schemas.microsoft.com/office/drawing/2014/main" id="{00000000-0008-0000-0000-00001B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214</xdr:row>
      <xdr:rowOff>0</xdr:rowOff>
    </xdr:from>
    <xdr:to>
      <xdr:col>3</xdr:col>
      <xdr:colOff>447675</xdr:colOff>
      <xdr:row>215</xdr:row>
      <xdr:rowOff>0</xdr:rowOff>
    </xdr:to>
    <xdr:grpSp>
      <xdr:nvGrpSpPr>
        <xdr:cNvPr id="28" name="Group 3">
          <a:extLst>
            <a:ext uri="{FF2B5EF4-FFF2-40B4-BE49-F238E27FC236}">
              <a16:creationId xmlns="" xmlns:a16="http://schemas.microsoft.com/office/drawing/2014/main" id="{00000000-0008-0000-0000-000008000000}"/>
            </a:ext>
          </a:extLst>
        </xdr:cNvPr>
        <xdr:cNvGrpSpPr>
          <a:grpSpLocks noChangeAspect="1"/>
        </xdr:cNvGrpSpPr>
      </xdr:nvGrpSpPr>
      <xdr:grpSpPr bwMode="auto">
        <a:xfrm>
          <a:off x="3309938" y="153233438"/>
          <a:ext cx="447675" cy="428625"/>
          <a:chOff x="4846" y="2659"/>
          <a:chExt cx="7140" cy="4320"/>
        </a:xfrm>
      </xdr:grpSpPr>
      <xdr:sp macro="" textlink="">
        <xdr:nvSpPr>
          <xdr:cNvPr id="29" name="AutoShape 4">
            <a:extLst>
              <a:ext uri="{FF2B5EF4-FFF2-40B4-BE49-F238E27FC236}">
                <a16:creationId xmlns="" xmlns:a16="http://schemas.microsoft.com/office/drawing/2014/main"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214</xdr:row>
      <xdr:rowOff>0</xdr:rowOff>
    </xdr:from>
    <xdr:to>
      <xdr:col>3</xdr:col>
      <xdr:colOff>447675</xdr:colOff>
      <xdr:row>215</xdr:row>
      <xdr:rowOff>0</xdr:rowOff>
    </xdr:to>
    <xdr:grpSp>
      <xdr:nvGrpSpPr>
        <xdr:cNvPr id="30" name="Group 3">
          <a:extLst>
            <a:ext uri="{FF2B5EF4-FFF2-40B4-BE49-F238E27FC236}">
              <a16:creationId xmlns="" xmlns:a16="http://schemas.microsoft.com/office/drawing/2014/main" id="{00000000-0008-0000-0000-000014000000}"/>
            </a:ext>
          </a:extLst>
        </xdr:cNvPr>
        <xdr:cNvGrpSpPr>
          <a:grpSpLocks noChangeAspect="1"/>
        </xdr:cNvGrpSpPr>
      </xdr:nvGrpSpPr>
      <xdr:grpSpPr bwMode="auto">
        <a:xfrm>
          <a:off x="3309938" y="153233438"/>
          <a:ext cx="447675" cy="428625"/>
          <a:chOff x="4846" y="2659"/>
          <a:chExt cx="7140" cy="4320"/>
        </a:xfrm>
      </xdr:grpSpPr>
      <xdr:sp macro="" textlink="">
        <xdr:nvSpPr>
          <xdr:cNvPr id="31" name="AutoShape 4">
            <a:extLst>
              <a:ext uri="{FF2B5EF4-FFF2-40B4-BE49-F238E27FC236}">
                <a16:creationId xmlns="" xmlns:a16="http://schemas.microsoft.com/office/drawing/2014/main"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215</xdr:row>
      <xdr:rowOff>0</xdr:rowOff>
    </xdr:from>
    <xdr:to>
      <xdr:col>3</xdr:col>
      <xdr:colOff>447675</xdr:colOff>
      <xdr:row>216</xdr:row>
      <xdr:rowOff>0</xdr:rowOff>
    </xdr:to>
    <xdr:grpSp>
      <xdr:nvGrpSpPr>
        <xdr:cNvPr id="32" name="Group 3">
          <a:extLst>
            <a:ext uri="{FF2B5EF4-FFF2-40B4-BE49-F238E27FC236}">
              <a16:creationId xmlns="" xmlns:a16="http://schemas.microsoft.com/office/drawing/2014/main" id="{00000000-0008-0000-0000-000008000000}"/>
            </a:ext>
          </a:extLst>
        </xdr:cNvPr>
        <xdr:cNvGrpSpPr>
          <a:grpSpLocks noChangeAspect="1"/>
        </xdr:cNvGrpSpPr>
      </xdr:nvGrpSpPr>
      <xdr:grpSpPr bwMode="auto">
        <a:xfrm>
          <a:off x="3309938" y="153662063"/>
          <a:ext cx="447675" cy="583406"/>
          <a:chOff x="4846" y="2659"/>
          <a:chExt cx="7140" cy="4320"/>
        </a:xfrm>
      </xdr:grpSpPr>
      <xdr:sp macro="" textlink="">
        <xdr:nvSpPr>
          <xdr:cNvPr id="33" name="AutoShape 4">
            <a:extLst>
              <a:ext uri="{FF2B5EF4-FFF2-40B4-BE49-F238E27FC236}">
                <a16:creationId xmlns="" xmlns:a16="http://schemas.microsoft.com/office/drawing/2014/main"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215</xdr:row>
      <xdr:rowOff>0</xdr:rowOff>
    </xdr:from>
    <xdr:to>
      <xdr:col>3</xdr:col>
      <xdr:colOff>447675</xdr:colOff>
      <xdr:row>216</xdr:row>
      <xdr:rowOff>0</xdr:rowOff>
    </xdr:to>
    <xdr:grpSp>
      <xdr:nvGrpSpPr>
        <xdr:cNvPr id="34" name="Group 3">
          <a:extLst>
            <a:ext uri="{FF2B5EF4-FFF2-40B4-BE49-F238E27FC236}">
              <a16:creationId xmlns="" xmlns:a16="http://schemas.microsoft.com/office/drawing/2014/main" id="{00000000-0008-0000-0000-000014000000}"/>
            </a:ext>
          </a:extLst>
        </xdr:cNvPr>
        <xdr:cNvGrpSpPr>
          <a:grpSpLocks noChangeAspect="1"/>
        </xdr:cNvGrpSpPr>
      </xdr:nvGrpSpPr>
      <xdr:grpSpPr bwMode="auto">
        <a:xfrm>
          <a:off x="3309938" y="153662063"/>
          <a:ext cx="447675" cy="583406"/>
          <a:chOff x="4846" y="2659"/>
          <a:chExt cx="7140" cy="4320"/>
        </a:xfrm>
      </xdr:grpSpPr>
      <xdr:sp macro="" textlink="">
        <xdr:nvSpPr>
          <xdr:cNvPr id="35" name="AutoShape 4">
            <a:extLst>
              <a:ext uri="{FF2B5EF4-FFF2-40B4-BE49-F238E27FC236}">
                <a16:creationId xmlns="" xmlns:a16="http://schemas.microsoft.com/office/drawing/2014/main"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217</xdr:row>
      <xdr:rowOff>0</xdr:rowOff>
    </xdr:from>
    <xdr:to>
      <xdr:col>3</xdr:col>
      <xdr:colOff>447675</xdr:colOff>
      <xdr:row>218</xdr:row>
      <xdr:rowOff>0</xdr:rowOff>
    </xdr:to>
    <xdr:grpSp>
      <xdr:nvGrpSpPr>
        <xdr:cNvPr id="36" name="Group 3">
          <a:extLst>
            <a:ext uri="{FF2B5EF4-FFF2-40B4-BE49-F238E27FC236}">
              <a16:creationId xmlns="" xmlns:a16="http://schemas.microsoft.com/office/drawing/2014/main" id="{00000000-0008-0000-0000-000008000000}"/>
            </a:ext>
          </a:extLst>
        </xdr:cNvPr>
        <xdr:cNvGrpSpPr>
          <a:grpSpLocks noChangeAspect="1"/>
        </xdr:cNvGrpSpPr>
      </xdr:nvGrpSpPr>
      <xdr:grpSpPr bwMode="auto">
        <a:xfrm>
          <a:off x="3309938" y="154816969"/>
          <a:ext cx="447675" cy="285750"/>
          <a:chOff x="4846" y="2659"/>
          <a:chExt cx="7140" cy="4320"/>
        </a:xfrm>
      </xdr:grpSpPr>
      <xdr:sp macro="" textlink="">
        <xdr:nvSpPr>
          <xdr:cNvPr id="37" name="AutoShape 4">
            <a:extLst>
              <a:ext uri="{FF2B5EF4-FFF2-40B4-BE49-F238E27FC236}">
                <a16:creationId xmlns="" xmlns:a16="http://schemas.microsoft.com/office/drawing/2014/main"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217</xdr:row>
      <xdr:rowOff>0</xdr:rowOff>
    </xdr:from>
    <xdr:to>
      <xdr:col>3</xdr:col>
      <xdr:colOff>447675</xdr:colOff>
      <xdr:row>218</xdr:row>
      <xdr:rowOff>0</xdr:rowOff>
    </xdr:to>
    <xdr:grpSp>
      <xdr:nvGrpSpPr>
        <xdr:cNvPr id="38" name="Group 3">
          <a:extLst>
            <a:ext uri="{FF2B5EF4-FFF2-40B4-BE49-F238E27FC236}">
              <a16:creationId xmlns="" xmlns:a16="http://schemas.microsoft.com/office/drawing/2014/main" id="{00000000-0008-0000-0000-000014000000}"/>
            </a:ext>
          </a:extLst>
        </xdr:cNvPr>
        <xdr:cNvGrpSpPr>
          <a:grpSpLocks noChangeAspect="1"/>
        </xdr:cNvGrpSpPr>
      </xdr:nvGrpSpPr>
      <xdr:grpSpPr bwMode="auto">
        <a:xfrm>
          <a:off x="3309938" y="154816969"/>
          <a:ext cx="447675" cy="285750"/>
          <a:chOff x="4846" y="2659"/>
          <a:chExt cx="7140" cy="4320"/>
        </a:xfrm>
      </xdr:grpSpPr>
      <xdr:sp macro="" textlink="">
        <xdr:nvSpPr>
          <xdr:cNvPr id="39" name="AutoShape 4">
            <a:extLst>
              <a:ext uri="{FF2B5EF4-FFF2-40B4-BE49-F238E27FC236}">
                <a16:creationId xmlns="" xmlns:a16="http://schemas.microsoft.com/office/drawing/2014/main"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218</xdr:row>
      <xdr:rowOff>0</xdr:rowOff>
    </xdr:from>
    <xdr:to>
      <xdr:col>3</xdr:col>
      <xdr:colOff>447675</xdr:colOff>
      <xdr:row>219</xdr:row>
      <xdr:rowOff>0</xdr:rowOff>
    </xdr:to>
    <xdr:grpSp>
      <xdr:nvGrpSpPr>
        <xdr:cNvPr id="40" name="Group 3">
          <a:extLst>
            <a:ext uri="{FF2B5EF4-FFF2-40B4-BE49-F238E27FC236}">
              <a16:creationId xmlns="" xmlns:a16="http://schemas.microsoft.com/office/drawing/2014/main" id="{00000000-0008-0000-0000-000008000000}"/>
            </a:ext>
          </a:extLst>
        </xdr:cNvPr>
        <xdr:cNvGrpSpPr>
          <a:grpSpLocks noChangeAspect="1"/>
        </xdr:cNvGrpSpPr>
      </xdr:nvGrpSpPr>
      <xdr:grpSpPr bwMode="auto">
        <a:xfrm>
          <a:off x="3309938" y="155102719"/>
          <a:ext cx="447675" cy="892969"/>
          <a:chOff x="4846" y="2659"/>
          <a:chExt cx="7140" cy="4320"/>
        </a:xfrm>
      </xdr:grpSpPr>
      <xdr:sp macro="" textlink="">
        <xdr:nvSpPr>
          <xdr:cNvPr id="41" name="AutoShape 4">
            <a:extLst>
              <a:ext uri="{FF2B5EF4-FFF2-40B4-BE49-F238E27FC236}">
                <a16:creationId xmlns="" xmlns:a16="http://schemas.microsoft.com/office/drawing/2014/main"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218</xdr:row>
      <xdr:rowOff>0</xdr:rowOff>
    </xdr:from>
    <xdr:to>
      <xdr:col>3</xdr:col>
      <xdr:colOff>447675</xdr:colOff>
      <xdr:row>219</xdr:row>
      <xdr:rowOff>0</xdr:rowOff>
    </xdr:to>
    <xdr:grpSp>
      <xdr:nvGrpSpPr>
        <xdr:cNvPr id="42" name="Group 3">
          <a:extLst>
            <a:ext uri="{FF2B5EF4-FFF2-40B4-BE49-F238E27FC236}">
              <a16:creationId xmlns="" xmlns:a16="http://schemas.microsoft.com/office/drawing/2014/main" id="{00000000-0008-0000-0000-000014000000}"/>
            </a:ext>
          </a:extLst>
        </xdr:cNvPr>
        <xdr:cNvGrpSpPr>
          <a:grpSpLocks noChangeAspect="1"/>
        </xdr:cNvGrpSpPr>
      </xdr:nvGrpSpPr>
      <xdr:grpSpPr bwMode="auto">
        <a:xfrm>
          <a:off x="3309938" y="155102719"/>
          <a:ext cx="447675" cy="892969"/>
          <a:chOff x="4846" y="2659"/>
          <a:chExt cx="7140" cy="4320"/>
        </a:xfrm>
      </xdr:grpSpPr>
      <xdr:sp macro="" textlink="">
        <xdr:nvSpPr>
          <xdr:cNvPr id="43" name="AutoShape 4">
            <a:extLst>
              <a:ext uri="{FF2B5EF4-FFF2-40B4-BE49-F238E27FC236}">
                <a16:creationId xmlns="" xmlns:a16="http://schemas.microsoft.com/office/drawing/2014/main"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221</xdr:row>
      <xdr:rowOff>0</xdr:rowOff>
    </xdr:from>
    <xdr:to>
      <xdr:col>3</xdr:col>
      <xdr:colOff>447675</xdr:colOff>
      <xdr:row>222</xdr:row>
      <xdr:rowOff>0</xdr:rowOff>
    </xdr:to>
    <xdr:grpSp>
      <xdr:nvGrpSpPr>
        <xdr:cNvPr id="45" name="Group 3">
          <a:extLst>
            <a:ext uri="{FF2B5EF4-FFF2-40B4-BE49-F238E27FC236}">
              <a16:creationId xmlns="" xmlns:a16="http://schemas.microsoft.com/office/drawing/2014/main" id="{00000000-0008-0000-0000-00000A000000}"/>
            </a:ext>
          </a:extLst>
        </xdr:cNvPr>
        <xdr:cNvGrpSpPr>
          <a:grpSpLocks noChangeAspect="1"/>
        </xdr:cNvGrpSpPr>
      </xdr:nvGrpSpPr>
      <xdr:grpSpPr bwMode="auto">
        <a:xfrm>
          <a:off x="3309938" y="156638625"/>
          <a:ext cx="447675" cy="690563"/>
          <a:chOff x="4846" y="2659"/>
          <a:chExt cx="7140" cy="4320"/>
        </a:xfrm>
      </xdr:grpSpPr>
      <xdr:sp macro="" textlink="">
        <xdr:nvSpPr>
          <xdr:cNvPr id="46" name="AutoShape 4">
            <a:extLst>
              <a:ext uri="{FF2B5EF4-FFF2-40B4-BE49-F238E27FC236}">
                <a16:creationId xmlns="" xmlns:a16="http://schemas.microsoft.com/office/drawing/2014/main" id="{00000000-0008-0000-0000-00000D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221</xdr:row>
      <xdr:rowOff>0</xdr:rowOff>
    </xdr:from>
    <xdr:to>
      <xdr:col>3</xdr:col>
      <xdr:colOff>447675</xdr:colOff>
      <xdr:row>222</xdr:row>
      <xdr:rowOff>0</xdr:rowOff>
    </xdr:to>
    <xdr:grpSp>
      <xdr:nvGrpSpPr>
        <xdr:cNvPr id="47" name="Group 3">
          <a:extLst>
            <a:ext uri="{FF2B5EF4-FFF2-40B4-BE49-F238E27FC236}">
              <a16:creationId xmlns="" xmlns:a16="http://schemas.microsoft.com/office/drawing/2014/main" id="{00000000-0008-0000-0000-000016000000}"/>
            </a:ext>
          </a:extLst>
        </xdr:cNvPr>
        <xdr:cNvGrpSpPr>
          <a:grpSpLocks noChangeAspect="1"/>
        </xdr:cNvGrpSpPr>
      </xdr:nvGrpSpPr>
      <xdr:grpSpPr bwMode="auto">
        <a:xfrm>
          <a:off x="3309938" y="156638625"/>
          <a:ext cx="447675" cy="690563"/>
          <a:chOff x="4846" y="2659"/>
          <a:chExt cx="7140" cy="4320"/>
        </a:xfrm>
      </xdr:grpSpPr>
      <xdr:sp macro="" textlink="">
        <xdr:nvSpPr>
          <xdr:cNvPr id="48" name="AutoShape 4">
            <a:extLst>
              <a:ext uri="{FF2B5EF4-FFF2-40B4-BE49-F238E27FC236}">
                <a16:creationId xmlns="" xmlns:a16="http://schemas.microsoft.com/office/drawing/2014/main" id="{00000000-0008-0000-0000-000017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226</xdr:row>
      <xdr:rowOff>0</xdr:rowOff>
    </xdr:from>
    <xdr:to>
      <xdr:col>3</xdr:col>
      <xdr:colOff>447675</xdr:colOff>
      <xdr:row>227</xdr:row>
      <xdr:rowOff>0</xdr:rowOff>
    </xdr:to>
    <xdr:grpSp>
      <xdr:nvGrpSpPr>
        <xdr:cNvPr id="49" name="Group 3">
          <a:extLst>
            <a:ext uri="{FF2B5EF4-FFF2-40B4-BE49-F238E27FC236}">
              <a16:creationId xmlns="" xmlns:a16="http://schemas.microsoft.com/office/drawing/2014/main" id="{00000000-0008-0000-0000-000010000000}"/>
            </a:ext>
          </a:extLst>
        </xdr:cNvPr>
        <xdr:cNvGrpSpPr>
          <a:grpSpLocks noChangeAspect="1"/>
        </xdr:cNvGrpSpPr>
      </xdr:nvGrpSpPr>
      <xdr:grpSpPr bwMode="auto">
        <a:xfrm>
          <a:off x="3309938" y="160651031"/>
          <a:ext cx="447675" cy="571500"/>
          <a:chOff x="4846" y="2659"/>
          <a:chExt cx="7140" cy="4320"/>
        </a:xfrm>
      </xdr:grpSpPr>
      <xdr:sp macro="" textlink="">
        <xdr:nvSpPr>
          <xdr:cNvPr id="50" name="AutoShape 4">
            <a:extLst>
              <a:ext uri="{FF2B5EF4-FFF2-40B4-BE49-F238E27FC236}">
                <a16:creationId xmlns="" xmlns:a16="http://schemas.microsoft.com/office/drawing/2014/main" id="{00000000-0008-0000-0000-000011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226</xdr:row>
      <xdr:rowOff>0</xdr:rowOff>
    </xdr:from>
    <xdr:to>
      <xdr:col>3</xdr:col>
      <xdr:colOff>447675</xdr:colOff>
      <xdr:row>227</xdr:row>
      <xdr:rowOff>0</xdr:rowOff>
    </xdr:to>
    <xdr:grpSp>
      <xdr:nvGrpSpPr>
        <xdr:cNvPr id="51" name="Group 3">
          <a:extLst>
            <a:ext uri="{FF2B5EF4-FFF2-40B4-BE49-F238E27FC236}">
              <a16:creationId xmlns="" xmlns:a16="http://schemas.microsoft.com/office/drawing/2014/main" id="{00000000-0008-0000-0000-00001A000000}"/>
            </a:ext>
          </a:extLst>
        </xdr:cNvPr>
        <xdr:cNvGrpSpPr>
          <a:grpSpLocks noChangeAspect="1"/>
        </xdr:cNvGrpSpPr>
      </xdr:nvGrpSpPr>
      <xdr:grpSpPr bwMode="auto">
        <a:xfrm>
          <a:off x="3309938" y="160651031"/>
          <a:ext cx="447675" cy="571500"/>
          <a:chOff x="4846" y="2659"/>
          <a:chExt cx="7140" cy="4320"/>
        </a:xfrm>
      </xdr:grpSpPr>
      <xdr:sp macro="" textlink="">
        <xdr:nvSpPr>
          <xdr:cNvPr id="52" name="AutoShape 4">
            <a:extLst>
              <a:ext uri="{FF2B5EF4-FFF2-40B4-BE49-F238E27FC236}">
                <a16:creationId xmlns="" xmlns:a16="http://schemas.microsoft.com/office/drawing/2014/main" id="{00000000-0008-0000-0000-00001B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230</xdr:row>
      <xdr:rowOff>0</xdr:rowOff>
    </xdr:from>
    <xdr:to>
      <xdr:col>3</xdr:col>
      <xdr:colOff>447675</xdr:colOff>
      <xdr:row>231</xdr:row>
      <xdr:rowOff>0</xdr:rowOff>
    </xdr:to>
    <xdr:grpSp>
      <xdr:nvGrpSpPr>
        <xdr:cNvPr id="53" name="Group 3">
          <a:extLst>
            <a:ext uri="{FF2B5EF4-FFF2-40B4-BE49-F238E27FC236}">
              <a16:creationId xmlns="" xmlns:a16="http://schemas.microsoft.com/office/drawing/2014/main" id="{00000000-0008-0000-0000-000010000000}"/>
            </a:ext>
          </a:extLst>
        </xdr:cNvPr>
        <xdr:cNvGrpSpPr>
          <a:grpSpLocks noChangeAspect="1"/>
        </xdr:cNvGrpSpPr>
      </xdr:nvGrpSpPr>
      <xdr:grpSpPr bwMode="auto">
        <a:xfrm>
          <a:off x="3309938" y="163079906"/>
          <a:ext cx="447675" cy="809625"/>
          <a:chOff x="4846" y="2659"/>
          <a:chExt cx="7140" cy="4320"/>
        </a:xfrm>
      </xdr:grpSpPr>
      <xdr:sp macro="" textlink="">
        <xdr:nvSpPr>
          <xdr:cNvPr id="54" name="AutoShape 4">
            <a:extLst>
              <a:ext uri="{FF2B5EF4-FFF2-40B4-BE49-F238E27FC236}">
                <a16:creationId xmlns="" xmlns:a16="http://schemas.microsoft.com/office/drawing/2014/main" id="{00000000-0008-0000-0000-000011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230</xdr:row>
      <xdr:rowOff>0</xdr:rowOff>
    </xdr:from>
    <xdr:to>
      <xdr:col>3</xdr:col>
      <xdr:colOff>447675</xdr:colOff>
      <xdr:row>231</xdr:row>
      <xdr:rowOff>0</xdr:rowOff>
    </xdr:to>
    <xdr:grpSp>
      <xdr:nvGrpSpPr>
        <xdr:cNvPr id="55" name="Group 3">
          <a:extLst>
            <a:ext uri="{FF2B5EF4-FFF2-40B4-BE49-F238E27FC236}">
              <a16:creationId xmlns="" xmlns:a16="http://schemas.microsoft.com/office/drawing/2014/main" id="{00000000-0008-0000-0000-00001A000000}"/>
            </a:ext>
          </a:extLst>
        </xdr:cNvPr>
        <xdr:cNvGrpSpPr>
          <a:grpSpLocks noChangeAspect="1"/>
        </xdr:cNvGrpSpPr>
      </xdr:nvGrpSpPr>
      <xdr:grpSpPr bwMode="auto">
        <a:xfrm>
          <a:off x="3309938" y="163079906"/>
          <a:ext cx="447675" cy="809625"/>
          <a:chOff x="4846" y="2659"/>
          <a:chExt cx="7140" cy="4320"/>
        </a:xfrm>
      </xdr:grpSpPr>
      <xdr:sp macro="" textlink="">
        <xdr:nvSpPr>
          <xdr:cNvPr id="56" name="AutoShape 4">
            <a:extLst>
              <a:ext uri="{FF2B5EF4-FFF2-40B4-BE49-F238E27FC236}">
                <a16:creationId xmlns="" xmlns:a16="http://schemas.microsoft.com/office/drawing/2014/main" id="{00000000-0008-0000-0000-00001B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234</xdr:row>
      <xdr:rowOff>0</xdr:rowOff>
    </xdr:from>
    <xdr:to>
      <xdr:col>3</xdr:col>
      <xdr:colOff>447675</xdr:colOff>
      <xdr:row>235</xdr:row>
      <xdr:rowOff>0</xdr:rowOff>
    </xdr:to>
    <xdr:grpSp>
      <xdr:nvGrpSpPr>
        <xdr:cNvPr id="57" name="Group 3">
          <a:extLst>
            <a:ext uri="{FF2B5EF4-FFF2-40B4-BE49-F238E27FC236}">
              <a16:creationId xmlns="" xmlns:a16="http://schemas.microsoft.com/office/drawing/2014/main" id="{00000000-0008-0000-0000-000010000000}"/>
            </a:ext>
          </a:extLst>
        </xdr:cNvPr>
        <xdr:cNvGrpSpPr>
          <a:grpSpLocks noChangeAspect="1"/>
        </xdr:cNvGrpSpPr>
      </xdr:nvGrpSpPr>
      <xdr:grpSpPr bwMode="auto">
        <a:xfrm>
          <a:off x="3309938" y="165175406"/>
          <a:ext cx="447675" cy="1428750"/>
          <a:chOff x="4846" y="2659"/>
          <a:chExt cx="7140" cy="4320"/>
        </a:xfrm>
      </xdr:grpSpPr>
      <xdr:sp macro="" textlink="">
        <xdr:nvSpPr>
          <xdr:cNvPr id="58" name="AutoShape 4">
            <a:extLst>
              <a:ext uri="{FF2B5EF4-FFF2-40B4-BE49-F238E27FC236}">
                <a16:creationId xmlns="" xmlns:a16="http://schemas.microsoft.com/office/drawing/2014/main" id="{00000000-0008-0000-0000-000011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234</xdr:row>
      <xdr:rowOff>0</xdr:rowOff>
    </xdr:from>
    <xdr:to>
      <xdr:col>3</xdr:col>
      <xdr:colOff>447675</xdr:colOff>
      <xdr:row>235</xdr:row>
      <xdr:rowOff>0</xdr:rowOff>
    </xdr:to>
    <xdr:grpSp>
      <xdr:nvGrpSpPr>
        <xdr:cNvPr id="59" name="Group 3">
          <a:extLst>
            <a:ext uri="{FF2B5EF4-FFF2-40B4-BE49-F238E27FC236}">
              <a16:creationId xmlns="" xmlns:a16="http://schemas.microsoft.com/office/drawing/2014/main" id="{00000000-0008-0000-0000-00001A000000}"/>
            </a:ext>
          </a:extLst>
        </xdr:cNvPr>
        <xdr:cNvGrpSpPr>
          <a:grpSpLocks noChangeAspect="1"/>
        </xdr:cNvGrpSpPr>
      </xdr:nvGrpSpPr>
      <xdr:grpSpPr bwMode="auto">
        <a:xfrm>
          <a:off x="3309938" y="165175406"/>
          <a:ext cx="447675" cy="1428750"/>
          <a:chOff x="4846" y="2659"/>
          <a:chExt cx="7140" cy="4320"/>
        </a:xfrm>
      </xdr:grpSpPr>
      <xdr:sp macro="" textlink="">
        <xdr:nvSpPr>
          <xdr:cNvPr id="60" name="AutoShape 4">
            <a:extLst>
              <a:ext uri="{FF2B5EF4-FFF2-40B4-BE49-F238E27FC236}">
                <a16:creationId xmlns="" xmlns:a16="http://schemas.microsoft.com/office/drawing/2014/main" id="{00000000-0008-0000-0000-00001B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510200</xdr:colOff>
      <xdr:row>9</xdr:row>
      <xdr:rowOff>303067</xdr:rowOff>
    </xdr:from>
    <xdr:to>
      <xdr:col>32</xdr:col>
      <xdr:colOff>285750</xdr:colOff>
      <xdr:row>48</xdr:row>
      <xdr:rowOff>352424</xdr:rowOff>
    </xdr:to>
    <xdr:graphicFrame macro="">
      <xdr:nvGraphicFramePr>
        <xdr:cNvPr id="2" name="Диаграмма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20</xdr:col>
          <xdr:colOff>0</xdr:colOff>
          <xdr:row>48</xdr:row>
          <xdr:rowOff>0</xdr:rowOff>
        </xdr:from>
        <xdr:to>
          <xdr:col>20</xdr:col>
          <xdr:colOff>0</xdr:colOff>
          <xdr:row>80</xdr:row>
          <xdr:rowOff>514350</xdr:rowOff>
        </xdr:to>
        <xdr:sp macro="" textlink="">
          <xdr:nvSpPr>
            <xdr:cNvPr id="1025" name="Диаграмма 2"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0</xdr:colOff>
          <xdr:row>9</xdr:row>
          <xdr:rowOff>0</xdr:rowOff>
        </xdr:from>
        <xdr:to>
          <xdr:col>7</xdr:col>
          <xdr:colOff>0</xdr:colOff>
          <xdr:row>11</xdr:row>
          <xdr:rowOff>0</xdr:rowOff>
        </xdr:to>
        <xdr:sp macro="" textlink="">
          <xdr:nvSpPr>
            <xdr:cNvPr id="11265" name="Диаграмма 2" hidden="1">
              <a:extLst>
                <a:ext uri="{63B3BB69-23CF-44E3-9099-C40C66FF867C}">
                  <a14:compatExt spid="_x0000_s1126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16</xdr:row>
          <xdr:rowOff>0</xdr:rowOff>
        </xdr:from>
        <xdr:to>
          <xdr:col>7</xdr:col>
          <xdr:colOff>0</xdr:colOff>
          <xdr:row>21</xdr:row>
          <xdr:rowOff>514350</xdr:rowOff>
        </xdr:to>
        <xdr:sp macro="" textlink="">
          <xdr:nvSpPr>
            <xdr:cNvPr id="11266" name="Object 2" hidden="1">
              <a:extLst>
                <a:ext uri="{63B3BB69-23CF-44E3-9099-C40C66FF867C}">
                  <a14:compatExt spid="_x0000_s1126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16</xdr:row>
          <xdr:rowOff>0</xdr:rowOff>
        </xdr:from>
        <xdr:to>
          <xdr:col>7</xdr:col>
          <xdr:colOff>0</xdr:colOff>
          <xdr:row>21</xdr:row>
          <xdr:rowOff>514350</xdr:rowOff>
        </xdr:to>
        <xdr:sp macro="" textlink="">
          <xdr:nvSpPr>
            <xdr:cNvPr id="11267" name="Object 3" hidden="1">
              <a:extLst>
                <a:ext uri="{63B3BB69-23CF-44E3-9099-C40C66FF867C}">
                  <a14:compatExt spid="_x0000_s1126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OTDELY\15\&#1043;&#1054;&#1057;%20&#1055;&#1056;&#1054;&#1043;&#1056;&#1040;&#1052;&#1052;&#1067;\&#1054;&#1058;&#1063;&#1045;&#1058;&#1067;%20&#1087;&#1086;%20&#1043;&#1055;\2023\&#1043;&#1054;&#1044;&#1054;&#1042;&#1054;&#1049;%202023\+%20&#1043;&#1055;%20&#1050;&#1091;&#1083;&#1100;&#1090;&#1091;&#1088;&#1072;\&#1054;&#1090;&#1095;&#1077;&#1090;%20&#1086;%20&#1093;&#1086;&#1076;&#1077;%20&#1088;&#1077;&#1072;&#1083;&#1080;&#1079;&#1072;&#1094;&#1080;&#1080;%20&#1043;&#1055;%20&#1052;&#1054;%20&#1050;&#1091;&#1083;&#1100;&#1090;&#1091;&#1088;&#1072;_&#1048;&#1058;&#1054;&#104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ГП Культура_Мероприятия"/>
      <sheetName val="ГП Культура_отчет ОКС"/>
      <sheetName val="Культура_Показатели"/>
      <sheetName val="Культура_Механизмы фин поддержк"/>
      <sheetName val="Культура_Оценка эффект"/>
    </sheetNames>
    <sheetDataSet>
      <sheetData sheetId="0">
        <row r="581">
          <cell r="B581" t="str">
            <v>Строительство Дома культуры в сельском поселении Алакуртти</v>
          </cell>
        </row>
        <row r="601">
          <cell r="B601" t="str">
            <v>Строительство здания центра культурного развития в г. Мурманске</v>
          </cell>
        </row>
        <row r="645">
          <cell r="F645">
            <v>0</v>
          </cell>
        </row>
        <row r="673">
          <cell r="E673">
            <v>0</v>
          </cell>
          <cell r="F673">
            <v>0</v>
          </cell>
        </row>
        <row r="675">
          <cell r="E675">
            <v>0</v>
          </cell>
          <cell r="F675">
            <v>0</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consultantplus://offline/ref=1DAB841444F5CA6947AE739035A2217D851C0C1DD695A591E352991F73CF0AED19F857B33D7FE297D9E5C50EC8W8S5I"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_____Microsoft_Excel_97-20031.xls"/></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oleObject" Target="../embeddings/_____Microsoft_Excel_97-20034.xls"/><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oleObject" Target="../embeddings/_____Microsoft_Excel_97-20033.xls"/><Relationship Id="rId5" Type="http://schemas.openxmlformats.org/officeDocument/2006/relationships/image" Target="../media/image1.emf"/><Relationship Id="rId4" Type="http://schemas.openxmlformats.org/officeDocument/2006/relationships/oleObject" Target="../embeddings/_____Microsoft_Excel_97-20032.xl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sheetPr>
  <dimension ref="A1:AK531"/>
  <sheetViews>
    <sheetView showGridLines="0" tabSelected="1" view="pageBreakPreview" zoomScale="80" zoomScaleSheetLayoutView="80" workbookViewId="0">
      <pane xSplit="1" ySplit="5" topLeftCell="B6" activePane="bottomRight" state="frozen"/>
      <selection pane="topRight" activeCell="B1" sqref="B1"/>
      <selection pane="bottomLeft" activeCell="A6" sqref="A6"/>
      <selection pane="bottomRight" activeCell="B7" sqref="B7"/>
    </sheetView>
  </sheetViews>
  <sheetFormatPr defaultColWidth="10.140625" defaultRowHeight="11.25" outlineLevelRow="2" x14ac:dyDescent="0.25"/>
  <cols>
    <col min="1" max="1" width="6" style="89" customWidth="1"/>
    <col min="2" max="2" width="34" style="62" customWidth="1"/>
    <col min="3" max="3" width="9.7109375" style="62" customWidth="1"/>
    <col min="4" max="4" width="7.5703125" style="62" customWidth="1"/>
    <col min="5" max="5" width="10.5703125" style="62" bestFit="1" customWidth="1"/>
    <col min="6" max="7" width="7" style="62" customWidth="1"/>
    <col min="8" max="8" width="11.140625" style="62" customWidth="1"/>
    <col min="9" max="9" width="10.5703125" style="62" customWidth="1"/>
    <col min="10" max="10" width="56.5703125" style="62" customWidth="1"/>
    <col min="11" max="11" width="39.7109375" style="62" customWidth="1"/>
    <col min="12" max="12" width="17.42578125" style="93" customWidth="1"/>
    <col min="13" max="13" width="13.42578125" style="76" hidden="1" customWidth="1"/>
    <col min="14" max="15" width="8.85546875" style="76" hidden="1" customWidth="1"/>
    <col min="16" max="16" width="4.42578125" style="52" hidden="1" customWidth="1"/>
    <col min="17" max="17" width="6.140625" style="52" hidden="1" customWidth="1"/>
    <col min="18" max="18" width="5" style="103" hidden="1" customWidth="1"/>
    <col min="19" max="19" width="10.140625" style="103" hidden="1" customWidth="1"/>
    <col min="20" max="20" width="12.42578125" style="103" hidden="1" customWidth="1"/>
    <col min="21" max="22" width="15.5703125" style="103" hidden="1" customWidth="1"/>
    <col min="23" max="23" width="12" style="103" hidden="1" customWidth="1"/>
    <col min="24" max="24" width="10.140625" style="52" hidden="1" customWidth="1"/>
    <col min="25" max="25" width="3.85546875" style="52" hidden="1" customWidth="1"/>
    <col min="26" max="26" width="12.7109375" style="99" hidden="1" customWidth="1"/>
    <col min="27" max="27" width="13.7109375" style="99" hidden="1" customWidth="1"/>
    <col min="28" max="28" width="12.140625" style="99" hidden="1" customWidth="1"/>
    <col min="29" max="29" width="8.140625" style="60" hidden="1" customWidth="1"/>
    <col min="30" max="30" width="7.85546875" style="61" hidden="1" customWidth="1"/>
    <col min="31" max="31" width="6.42578125" style="62" customWidth="1"/>
    <col min="32" max="32" width="10.140625" style="62" customWidth="1"/>
    <col min="33" max="33" width="7.7109375" style="62" customWidth="1"/>
    <col min="34" max="34" width="16" style="62" customWidth="1"/>
    <col min="35" max="35" width="6.28515625" style="62" customWidth="1"/>
    <col min="36" max="36" width="9" style="62" customWidth="1"/>
    <col min="37" max="37" width="10.140625" style="62" hidden="1" customWidth="1"/>
    <col min="38" max="53" width="10.140625" style="62" customWidth="1"/>
    <col min="54" max="16384" width="10.140625" style="62"/>
  </cols>
  <sheetData>
    <row r="1" spans="1:37" s="47" customFormat="1" ht="15" x14ac:dyDescent="0.25">
      <c r="A1" s="45"/>
      <c r="B1" s="46"/>
      <c r="C1" s="46"/>
      <c r="E1" s="46"/>
      <c r="F1" s="46"/>
      <c r="G1" s="46"/>
      <c r="H1" s="48"/>
      <c r="I1" s="48"/>
      <c r="J1" s="46"/>
      <c r="K1" s="49"/>
      <c r="L1" s="1111" t="s">
        <v>274</v>
      </c>
      <c r="M1" s="50"/>
      <c r="N1" s="50"/>
      <c r="O1" s="51"/>
      <c r="P1" s="49"/>
      <c r="Q1" s="49"/>
      <c r="R1" s="102"/>
      <c r="S1" s="179">
        <f>S5/$R$5</f>
        <v>9.1787439613526575E-2</v>
      </c>
      <c r="T1" s="179">
        <f>T5/$R$5</f>
        <v>0.10869565217391304</v>
      </c>
      <c r="U1" s="179">
        <f t="shared" ref="U1:W1" si="0">U5/$R$5</f>
        <v>0.6376811594202898</v>
      </c>
      <c r="V1" s="179">
        <f t="shared" si="0"/>
        <v>7.4879227053140096E-2</v>
      </c>
      <c r="W1" s="179">
        <f t="shared" si="0"/>
        <v>8.6956521739130432E-2</v>
      </c>
      <c r="X1" s="149"/>
      <c r="Y1" s="53">
        <f>SUM(Z5:AB5)</f>
        <v>244</v>
      </c>
      <c r="Z1" s="179">
        <f>Z5/$Y$1</f>
        <v>0.49590163934426229</v>
      </c>
      <c r="AA1" s="179">
        <f t="shared" ref="AA1:AB1" si="1">AA5/$Y$1</f>
        <v>0.29098360655737704</v>
      </c>
      <c r="AB1" s="179">
        <f t="shared" si="1"/>
        <v>0.21311475409836064</v>
      </c>
      <c r="AC1" s="54"/>
      <c r="AD1" s="55"/>
      <c r="AK1" s="47">
        <f>SUM(T1:X1)-R1</f>
        <v>0.90821256038647347</v>
      </c>
    </row>
    <row r="2" spans="1:37" s="47" customFormat="1" ht="15.75" x14ac:dyDescent="0.25">
      <c r="A2" s="588" t="s">
        <v>1696</v>
      </c>
      <c r="B2" s="588"/>
      <c r="C2" s="588"/>
      <c r="D2" s="588"/>
      <c r="E2" s="588"/>
      <c r="F2" s="588"/>
      <c r="G2" s="588"/>
      <c r="H2" s="588"/>
      <c r="I2" s="588"/>
      <c r="J2" s="588"/>
      <c r="K2" s="588"/>
      <c r="L2" s="588"/>
      <c r="M2" s="31"/>
      <c r="N2" s="31"/>
      <c r="O2" s="31"/>
      <c r="P2" s="49"/>
      <c r="Q2" s="49"/>
      <c r="R2" s="102"/>
      <c r="S2" s="105"/>
      <c r="T2" s="105"/>
      <c r="U2" s="105"/>
      <c r="V2" s="105"/>
      <c r="W2" s="105"/>
      <c r="X2" s="56"/>
      <c r="Y2" s="56"/>
      <c r="Z2" s="98"/>
      <c r="AA2" s="98"/>
      <c r="AB2" s="98"/>
      <c r="AC2" s="54"/>
      <c r="AD2" s="55"/>
    </row>
    <row r="3" spans="1:37" s="47" customFormat="1" x14ac:dyDescent="0.25">
      <c r="A3" s="57"/>
      <c r="B3" s="32"/>
      <c r="C3" s="32"/>
      <c r="E3" s="32"/>
      <c r="F3" s="32"/>
      <c r="G3" s="32"/>
      <c r="H3" s="32"/>
      <c r="I3" s="32"/>
      <c r="J3" s="32"/>
      <c r="K3" s="49"/>
      <c r="L3" s="92"/>
      <c r="M3" s="33"/>
      <c r="N3" s="34"/>
      <c r="O3" s="35"/>
      <c r="P3" s="49"/>
      <c r="Q3" s="49"/>
      <c r="R3" s="102"/>
      <c r="S3" s="103"/>
      <c r="T3" s="103"/>
      <c r="U3" s="103"/>
      <c r="V3" s="103"/>
      <c r="W3" s="103"/>
      <c r="X3" s="52"/>
      <c r="Y3" s="52"/>
      <c r="Z3" s="99"/>
      <c r="AA3" s="99"/>
      <c r="AB3" s="99"/>
      <c r="AC3" s="58">
        <f>AVERAGE(N7:N493)</f>
        <v>0.94090787358828376</v>
      </c>
      <c r="AD3" s="58">
        <f>AVERAGE(O7:O493)</f>
        <v>1.0242835503120369</v>
      </c>
    </row>
    <row r="4" spans="1:37" s="47" customFormat="1" ht="45" x14ac:dyDescent="0.25">
      <c r="A4" s="589" t="s">
        <v>275</v>
      </c>
      <c r="B4" s="590" t="s">
        <v>276</v>
      </c>
      <c r="C4" s="592" t="s">
        <v>277</v>
      </c>
      <c r="D4" s="593" t="s">
        <v>278</v>
      </c>
      <c r="E4" s="36">
        <v>2022</v>
      </c>
      <c r="F4" s="594">
        <v>2023</v>
      </c>
      <c r="G4" s="595"/>
      <c r="H4" s="596" t="s">
        <v>279</v>
      </c>
      <c r="I4" s="596" t="s">
        <v>280</v>
      </c>
      <c r="J4" s="592" t="s">
        <v>281</v>
      </c>
      <c r="K4" s="592" t="s">
        <v>282</v>
      </c>
      <c r="L4" s="597" t="s">
        <v>283</v>
      </c>
      <c r="M4" s="586" t="s">
        <v>284</v>
      </c>
      <c r="N4" s="587" t="s">
        <v>285</v>
      </c>
      <c r="O4" s="587" t="s">
        <v>286</v>
      </c>
      <c r="P4" s="49"/>
      <c r="Q4" s="49"/>
      <c r="R4" s="106" t="s">
        <v>287</v>
      </c>
      <c r="S4" s="107" t="s">
        <v>288</v>
      </c>
      <c r="T4" s="108" t="s">
        <v>289</v>
      </c>
      <c r="U4" s="109" t="s">
        <v>290</v>
      </c>
      <c r="V4" s="109" t="s">
        <v>291</v>
      </c>
      <c r="W4" s="109" t="s">
        <v>292</v>
      </c>
      <c r="X4" s="59" t="s">
        <v>288</v>
      </c>
      <c r="Z4" s="372" t="s">
        <v>293</v>
      </c>
      <c r="AA4" s="372" t="s">
        <v>1260</v>
      </c>
      <c r="AB4" s="372" t="s">
        <v>294</v>
      </c>
      <c r="AC4" s="54"/>
      <c r="AD4" s="55"/>
    </row>
    <row r="5" spans="1:37" x14ac:dyDescent="0.25">
      <c r="A5" s="589"/>
      <c r="B5" s="591"/>
      <c r="C5" s="592"/>
      <c r="D5" s="593"/>
      <c r="E5" s="37" t="s">
        <v>295</v>
      </c>
      <c r="F5" s="37" t="s">
        <v>296</v>
      </c>
      <c r="G5" s="37" t="s">
        <v>295</v>
      </c>
      <c r="H5" s="596"/>
      <c r="I5" s="596"/>
      <c r="J5" s="592" t="s">
        <v>297</v>
      </c>
      <c r="K5" s="592" t="s">
        <v>297</v>
      </c>
      <c r="L5" s="598" t="s">
        <v>298</v>
      </c>
      <c r="M5" s="586"/>
      <c r="N5" s="587"/>
      <c r="O5" s="587"/>
      <c r="R5" s="177">
        <f>S5+T5+U5+V5+W5</f>
        <v>414</v>
      </c>
      <c r="S5" s="178">
        <f>S496</f>
        <v>38</v>
      </c>
      <c r="T5" s="178">
        <f t="shared" ref="T5:AB5" si="2">T496</f>
        <v>45</v>
      </c>
      <c r="U5" s="178">
        <f>U496</f>
        <v>264</v>
      </c>
      <c r="V5" s="178">
        <f>V496</f>
        <v>31</v>
      </c>
      <c r="W5" s="178">
        <f t="shared" si="2"/>
        <v>36</v>
      </c>
      <c r="X5" s="178">
        <f>X496</f>
        <v>0</v>
      </c>
      <c r="Y5" s="178">
        <f t="shared" si="2"/>
        <v>0</v>
      </c>
      <c r="Z5" s="178">
        <f t="shared" si="2"/>
        <v>121</v>
      </c>
      <c r="AA5" s="178">
        <f t="shared" si="2"/>
        <v>71</v>
      </c>
      <c r="AB5" s="178">
        <f t="shared" si="2"/>
        <v>52</v>
      </c>
    </row>
    <row r="6" spans="1:37" s="47" customFormat="1" ht="17.25" customHeight="1" x14ac:dyDescent="0.25">
      <c r="A6" s="493">
        <v>1</v>
      </c>
      <c r="B6" s="577" t="s">
        <v>696</v>
      </c>
      <c r="C6" s="577"/>
      <c r="D6" s="577"/>
      <c r="E6" s="577"/>
      <c r="F6" s="577"/>
      <c r="G6" s="577"/>
      <c r="H6" s="494">
        <f>AVERAGE(N7:N63)</f>
        <v>0.95623064476269337</v>
      </c>
      <c r="I6" s="494">
        <f>AVERAGE(O7:O63)</f>
        <v>1.0414244206958727</v>
      </c>
      <c r="J6" s="500"/>
      <c r="K6" s="495"/>
      <c r="L6" s="496"/>
      <c r="M6" s="64"/>
      <c r="N6" s="51"/>
      <c r="O6" s="51"/>
      <c r="P6" s="49"/>
      <c r="Q6" s="49"/>
      <c r="R6" s="110">
        <f>COUNTA(C7:C15,C17:C24,C26:C35,C37:C41,C43:C48,C50:C55,C57:C60,C62:C63)</f>
        <v>50</v>
      </c>
      <c r="S6" s="102">
        <f>R6-T6-U6-V6-W6</f>
        <v>9</v>
      </c>
      <c r="T6" s="110">
        <f>COUNTIFS(AC7:AC63,"&gt;1,50")</f>
        <v>2</v>
      </c>
      <c r="U6" s="110">
        <f>COUNTIFS(AC7:AC63,"&gt;=0,995",AC7:AC63,"&lt;=1,5")</f>
        <v>29</v>
      </c>
      <c r="V6" s="110">
        <f>COUNTIFS(AC7:AC63,"&gt;=0,85",AC7:AC63,"&lt;0,995")</f>
        <v>7</v>
      </c>
      <c r="W6" s="110">
        <f>COUNTIFS(AC7:AC63,"&lt;0,85")</f>
        <v>3</v>
      </c>
      <c r="X6" s="49">
        <v>10</v>
      </c>
      <c r="Z6" s="100">
        <f>COUNTIFS(AD7:AD63,"&gt;=1,01")</f>
        <v>19</v>
      </c>
      <c r="AA6" s="100">
        <f>COUNTIFS(AD7:AD63,"&gt;=0,99",AD7:AD63,"&lt;1,01")</f>
        <v>16</v>
      </c>
      <c r="AB6" s="101">
        <f>COUNTIFS(AD7:AD63,"&lt;0,99")</f>
        <v>2</v>
      </c>
      <c r="AC6" s="67"/>
      <c r="AD6" s="67"/>
      <c r="AK6" s="47">
        <f>SUM(T6:X6)-R6</f>
        <v>1</v>
      </c>
    </row>
    <row r="7" spans="1:37" ht="135" outlineLevel="2" x14ac:dyDescent="0.25">
      <c r="A7" s="262" t="s">
        <v>299</v>
      </c>
      <c r="B7" s="155" t="s">
        <v>300</v>
      </c>
      <c r="C7" s="167" t="s">
        <v>301</v>
      </c>
      <c r="D7" s="251" t="s">
        <v>302</v>
      </c>
      <c r="E7" s="258">
        <v>13.2</v>
      </c>
      <c r="F7" s="258">
        <v>9.8000000000000007</v>
      </c>
      <c r="G7" s="258">
        <v>12.8</v>
      </c>
      <c r="H7" s="253">
        <f>F7/G7</f>
        <v>0.765625</v>
      </c>
      <c r="I7" s="253">
        <f>(E7/G7)</f>
        <v>1.0312499999999998</v>
      </c>
      <c r="J7" s="254" t="s">
        <v>1637</v>
      </c>
      <c r="K7" s="254" t="s">
        <v>1638</v>
      </c>
      <c r="L7" s="66" t="s">
        <v>53</v>
      </c>
      <c r="M7" s="66">
        <v>-1</v>
      </c>
      <c r="N7" s="41"/>
      <c r="O7" s="41"/>
      <c r="AC7" s="67"/>
      <c r="AD7" s="67"/>
    </row>
    <row r="8" spans="1:37" ht="49.5" customHeight="1" outlineLevel="2" x14ac:dyDescent="0.25">
      <c r="A8" s="262" t="s">
        <v>303</v>
      </c>
      <c r="B8" s="155" t="s">
        <v>305</v>
      </c>
      <c r="C8" s="167" t="s">
        <v>1259</v>
      </c>
      <c r="D8" s="251" t="s">
        <v>302</v>
      </c>
      <c r="E8" s="258">
        <v>3.8</v>
      </c>
      <c r="F8" s="258">
        <v>4.8</v>
      </c>
      <c r="G8" s="258">
        <v>4.7</v>
      </c>
      <c r="H8" s="253">
        <f t="shared" ref="H8:H12" si="3">F8/G8</f>
        <v>1.0212765957446808</v>
      </c>
      <c r="I8" s="253">
        <f>(E8/G8)</f>
        <v>0.80851063829787229</v>
      </c>
      <c r="J8" s="254" t="s">
        <v>1639</v>
      </c>
      <c r="K8" s="254" t="s">
        <v>1478</v>
      </c>
      <c r="L8" s="66" t="s">
        <v>53</v>
      </c>
      <c r="M8" s="66">
        <v>-1</v>
      </c>
      <c r="N8" s="41"/>
      <c r="O8" s="41"/>
      <c r="AC8" s="67"/>
      <c r="AD8" s="67"/>
    </row>
    <row r="9" spans="1:37" ht="222.75" customHeight="1" outlineLevel="2" x14ac:dyDescent="0.25">
      <c r="A9" s="262" t="s">
        <v>304</v>
      </c>
      <c r="B9" s="155" t="s">
        <v>307</v>
      </c>
      <c r="C9" s="167" t="s">
        <v>308</v>
      </c>
      <c r="D9" s="251" t="s">
        <v>302</v>
      </c>
      <c r="E9" s="258">
        <v>624.20000000000005</v>
      </c>
      <c r="F9" s="258">
        <v>475</v>
      </c>
      <c r="G9" s="258">
        <v>637.4</v>
      </c>
      <c r="H9" s="253">
        <f t="shared" si="3"/>
        <v>0.74521493567618458</v>
      </c>
      <c r="I9" s="253">
        <f t="shared" ref="I9:I12" si="4">E9/G9</f>
        <v>0.9792908691559461</v>
      </c>
      <c r="J9" s="254" t="s">
        <v>1640</v>
      </c>
      <c r="K9" s="254" t="s">
        <v>1641</v>
      </c>
      <c r="L9" s="66" t="s">
        <v>53</v>
      </c>
      <c r="M9" s="66">
        <v>-1</v>
      </c>
      <c r="N9" s="41"/>
      <c r="O9" s="41"/>
      <c r="AC9" s="67"/>
      <c r="AD9" s="67"/>
    </row>
    <row r="10" spans="1:37" ht="73.5" customHeight="1" outlineLevel="2" x14ac:dyDescent="0.25">
      <c r="A10" s="262" t="s">
        <v>306</v>
      </c>
      <c r="B10" s="155" t="s">
        <v>310</v>
      </c>
      <c r="C10" s="167" t="s">
        <v>308</v>
      </c>
      <c r="D10" s="251" t="s">
        <v>302</v>
      </c>
      <c r="E10" s="258">
        <v>207.7</v>
      </c>
      <c r="F10" s="258">
        <v>188.5</v>
      </c>
      <c r="G10" s="258">
        <v>213.6</v>
      </c>
      <c r="H10" s="253">
        <f t="shared" si="3"/>
        <v>0.88249063670411987</v>
      </c>
      <c r="I10" s="253">
        <f t="shared" si="4"/>
        <v>0.97237827715355807</v>
      </c>
      <c r="J10" s="254" t="s">
        <v>1642</v>
      </c>
      <c r="K10" s="254" t="s">
        <v>1641</v>
      </c>
      <c r="L10" s="66" t="s">
        <v>53</v>
      </c>
      <c r="M10" s="66">
        <v>-1</v>
      </c>
      <c r="N10" s="41"/>
      <c r="O10" s="41"/>
      <c r="AC10" s="67"/>
      <c r="AD10" s="67"/>
    </row>
    <row r="11" spans="1:37" ht="54.75" customHeight="1" outlineLevel="2" x14ac:dyDescent="0.25">
      <c r="A11" s="262" t="s">
        <v>309</v>
      </c>
      <c r="B11" s="155" t="s">
        <v>312</v>
      </c>
      <c r="C11" s="167" t="s">
        <v>308</v>
      </c>
      <c r="D11" s="251" t="s">
        <v>302</v>
      </c>
      <c r="E11" s="258">
        <v>2.1</v>
      </c>
      <c r="F11" s="258">
        <v>4.2</v>
      </c>
      <c r="G11" s="258">
        <v>1.4</v>
      </c>
      <c r="H11" s="253">
        <f t="shared" si="3"/>
        <v>3.0000000000000004</v>
      </c>
      <c r="I11" s="253">
        <f t="shared" si="4"/>
        <v>1.5000000000000002</v>
      </c>
      <c r="J11" s="254" t="s">
        <v>1642</v>
      </c>
      <c r="K11" s="254" t="s">
        <v>41</v>
      </c>
      <c r="L11" s="66" t="s">
        <v>53</v>
      </c>
      <c r="M11" s="66">
        <v>-1</v>
      </c>
      <c r="N11" s="41"/>
      <c r="O11" s="41"/>
      <c r="AC11" s="67"/>
      <c r="AD11" s="67"/>
    </row>
    <row r="12" spans="1:37" ht="63.75" customHeight="1" outlineLevel="2" x14ac:dyDescent="0.25">
      <c r="A12" s="262" t="s">
        <v>311</v>
      </c>
      <c r="B12" s="155" t="s">
        <v>315</v>
      </c>
      <c r="C12" s="167" t="s">
        <v>308</v>
      </c>
      <c r="D12" s="251" t="s">
        <v>302</v>
      </c>
      <c r="E12" s="258">
        <v>718.5</v>
      </c>
      <c r="F12" s="258">
        <v>413.5</v>
      </c>
      <c r="G12" s="258">
        <v>710</v>
      </c>
      <c r="H12" s="253">
        <f t="shared" si="3"/>
        <v>0.5823943661971831</v>
      </c>
      <c r="I12" s="253">
        <f t="shared" si="4"/>
        <v>1.0119718309859156</v>
      </c>
      <c r="J12" s="254" t="s">
        <v>1643</v>
      </c>
      <c r="K12" s="254" t="s">
        <v>1641</v>
      </c>
      <c r="L12" s="66" t="s">
        <v>53</v>
      </c>
      <c r="M12" s="66">
        <v>-1</v>
      </c>
      <c r="N12" s="41"/>
      <c r="O12" s="41"/>
      <c r="AC12" s="67"/>
      <c r="AD12" s="67"/>
    </row>
    <row r="13" spans="1:37" ht="94.5" customHeight="1" outlineLevel="2" x14ac:dyDescent="0.25">
      <c r="A13" s="262" t="s">
        <v>313</v>
      </c>
      <c r="B13" s="155" t="s">
        <v>317</v>
      </c>
      <c r="C13" s="167" t="s">
        <v>318</v>
      </c>
      <c r="D13" s="208" t="s">
        <v>319</v>
      </c>
      <c r="E13" s="258">
        <v>70.180000000000007</v>
      </c>
      <c r="F13" s="258">
        <v>73</v>
      </c>
      <c r="G13" s="258">
        <v>70.599999999999994</v>
      </c>
      <c r="H13" s="253">
        <f>G13/F13</f>
        <v>0.96712328767123279</v>
      </c>
      <c r="I13" s="253">
        <f>G13/E13</f>
        <v>1.0059846110002848</v>
      </c>
      <c r="J13" s="254" t="s">
        <v>2055</v>
      </c>
      <c r="K13" s="254" t="s">
        <v>1641</v>
      </c>
      <c r="L13" s="66" t="s">
        <v>53</v>
      </c>
      <c r="M13" s="66">
        <v>1</v>
      </c>
      <c r="N13" s="41"/>
      <c r="O13" s="41"/>
      <c r="AC13" s="67"/>
      <c r="AD13" s="67"/>
    </row>
    <row r="14" spans="1:37" ht="45" outlineLevel="2" x14ac:dyDescent="0.25">
      <c r="A14" s="262" t="s">
        <v>314</v>
      </c>
      <c r="B14" s="155" t="s">
        <v>697</v>
      </c>
      <c r="C14" s="167" t="s">
        <v>320</v>
      </c>
      <c r="D14" s="208" t="s">
        <v>319</v>
      </c>
      <c r="E14" s="258">
        <v>45.3</v>
      </c>
      <c r="F14" s="258">
        <v>44.7</v>
      </c>
      <c r="G14" s="258">
        <v>47.36</v>
      </c>
      <c r="H14" s="253">
        <f t="shared" ref="H14:H15" si="5">G14/F14</f>
        <v>1.0595078299776286</v>
      </c>
      <c r="I14" s="253">
        <f t="shared" ref="I14:I15" si="6">G14/E14</f>
        <v>1.0454746136865343</v>
      </c>
      <c r="J14" s="254" t="s">
        <v>699</v>
      </c>
      <c r="K14" s="254" t="s">
        <v>41</v>
      </c>
      <c r="L14" s="66" t="s">
        <v>53</v>
      </c>
      <c r="M14" s="66">
        <v>1</v>
      </c>
      <c r="N14" s="41">
        <f t="shared" ref="N14:N15" si="7">IF(H14&gt;1,1,H14)</f>
        <v>1</v>
      </c>
      <c r="O14" s="41">
        <f t="shared" ref="O14:O15" si="8">IF(I14&gt;1.25,1.25,I14)</f>
        <v>1.0454746136865343</v>
      </c>
      <c r="AC14" s="67">
        <f t="shared" ref="AC14:AD72" si="9">H14</f>
        <v>1.0595078299776286</v>
      </c>
      <c r="AD14" s="67">
        <f t="shared" si="9"/>
        <v>1.0454746136865343</v>
      </c>
    </row>
    <row r="15" spans="1:37" ht="112.5" outlineLevel="2" x14ac:dyDescent="0.25">
      <c r="A15" s="262" t="s">
        <v>316</v>
      </c>
      <c r="B15" s="155" t="s">
        <v>698</v>
      </c>
      <c r="C15" s="167" t="s">
        <v>321</v>
      </c>
      <c r="D15" s="208" t="s">
        <v>319</v>
      </c>
      <c r="E15" s="258">
        <v>92.9</v>
      </c>
      <c r="F15" s="258">
        <v>90</v>
      </c>
      <c r="G15" s="258">
        <v>92.8</v>
      </c>
      <c r="H15" s="253">
        <f t="shared" si="5"/>
        <v>1.0311111111111111</v>
      </c>
      <c r="I15" s="253">
        <f t="shared" si="6"/>
        <v>0.99892357373519902</v>
      </c>
      <c r="J15" s="254" t="s">
        <v>2056</v>
      </c>
      <c r="K15" s="254" t="s">
        <v>41</v>
      </c>
      <c r="L15" s="66" t="s">
        <v>53</v>
      </c>
      <c r="M15" s="66">
        <v>1</v>
      </c>
      <c r="N15" s="41">
        <f t="shared" si="7"/>
        <v>1</v>
      </c>
      <c r="O15" s="41">
        <f t="shared" si="8"/>
        <v>0.99892357373519902</v>
      </c>
      <c r="AC15" s="67">
        <f t="shared" si="9"/>
        <v>1.0311111111111111</v>
      </c>
      <c r="AD15" s="67">
        <f t="shared" si="9"/>
        <v>0.99892357373519902</v>
      </c>
    </row>
    <row r="16" spans="1:37" s="47" customFormat="1" ht="21.75" customHeight="1" outlineLevel="1" x14ac:dyDescent="0.25">
      <c r="A16" s="68" t="s">
        <v>46</v>
      </c>
      <c r="B16" s="571" t="s">
        <v>54</v>
      </c>
      <c r="C16" s="571"/>
      <c r="D16" s="571"/>
      <c r="E16" s="571"/>
      <c r="F16" s="571"/>
      <c r="G16" s="571"/>
      <c r="H16" s="69">
        <f>AVERAGE(N17:N24)</f>
        <v>0.97245229383429732</v>
      </c>
      <c r="I16" s="69">
        <f>AVERAGE(O17:O24)</f>
        <v>1.0616203406986604</v>
      </c>
      <c r="J16" s="70"/>
      <c r="K16" s="70"/>
      <c r="L16" s="71"/>
      <c r="M16" s="64"/>
      <c r="N16" s="51"/>
      <c r="O16" s="51"/>
      <c r="P16" s="49"/>
      <c r="Q16" s="49"/>
      <c r="R16" s="104">
        <f>COUNTA(C17:C24)</f>
        <v>8</v>
      </c>
      <c r="S16" s="103">
        <v>0</v>
      </c>
      <c r="T16" s="104">
        <f>COUNTIFS(AC17:AC24,"&gt;1,50")</f>
        <v>1</v>
      </c>
      <c r="U16" s="104">
        <f>COUNTIFS(AC17:AC24,"&gt;=0,995",AC17:AC24,"&lt;=1,5")</f>
        <v>4</v>
      </c>
      <c r="V16" s="104">
        <f>COUNTIFS(AC17:AC24,"&gt;=0,85",AC17:AC24,"&lt;0,995")</f>
        <v>2</v>
      </c>
      <c r="W16" s="104">
        <f>COUNTIFS(AC17:AC24,"&lt;0,85")</f>
        <v>1</v>
      </c>
      <c r="X16" s="52">
        <v>0</v>
      </c>
      <c r="Z16" s="96">
        <f>COUNTIFS(AD17:AD24,"&gt;=1,01")</f>
        <v>5</v>
      </c>
      <c r="AA16" s="96">
        <f>COUNTIFS(AD17:AD24,"&gt;=0,99",AD17:AD24,"&lt;1,01")</f>
        <v>3</v>
      </c>
      <c r="AB16" s="97">
        <f>COUNTIFS(AD17:AD24,"&lt;0,99")</f>
        <v>0</v>
      </c>
      <c r="AC16" s="67"/>
      <c r="AD16" s="67"/>
      <c r="AK16" s="47">
        <f>SUM(T16:X16)-R16</f>
        <v>0</v>
      </c>
    </row>
    <row r="17" spans="1:37" ht="45" outlineLevel="2" x14ac:dyDescent="0.25">
      <c r="A17" s="262" t="s">
        <v>55</v>
      </c>
      <c r="B17" s="155" t="s">
        <v>322</v>
      </c>
      <c r="C17" s="167" t="s">
        <v>323</v>
      </c>
      <c r="D17" s="251" t="s">
        <v>302</v>
      </c>
      <c r="E17" s="258">
        <v>11.1</v>
      </c>
      <c r="F17" s="258">
        <v>8.8000000000000007</v>
      </c>
      <c r="G17" s="258">
        <v>10.914</v>
      </c>
      <c r="H17" s="259">
        <f>F17/G17</f>
        <v>0.80630382994319227</v>
      </c>
      <c r="I17" s="259">
        <f>E17/G17</f>
        <v>1.0170423309510721</v>
      </c>
      <c r="J17" s="254" t="s">
        <v>1644</v>
      </c>
      <c r="K17" s="254" t="s">
        <v>1645</v>
      </c>
      <c r="L17" s="66" t="s">
        <v>53</v>
      </c>
      <c r="M17" s="40">
        <v>-1</v>
      </c>
      <c r="N17" s="41">
        <f t="shared" ref="N17" si="10">IF(H17&gt;1,1,H17)</f>
        <v>0.80630382994319227</v>
      </c>
      <c r="O17" s="41">
        <f>IF(I17&gt;1.25,1.25,I17)</f>
        <v>1.0170423309510721</v>
      </c>
      <c r="AC17" s="67">
        <f t="shared" ref="AC17" si="11">H17</f>
        <v>0.80630382994319227</v>
      </c>
      <c r="AD17" s="67">
        <f t="shared" ref="AD17" si="12">I17</f>
        <v>1.0170423309510721</v>
      </c>
    </row>
    <row r="18" spans="1:37" ht="25.5" customHeight="1" outlineLevel="2" x14ac:dyDescent="0.25">
      <c r="A18" s="262" t="s">
        <v>56</v>
      </c>
      <c r="B18" s="155" t="s">
        <v>700</v>
      </c>
      <c r="C18" s="167" t="s">
        <v>321</v>
      </c>
      <c r="D18" s="208" t="s">
        <v>319</v>
      </c>
      <c r="E18" s="258">
        <v>95.3</v>
      </c>
      <c r="F18" s="258">
        <v>98.03</v>
      </c>
      <c r="G18" s="258">
        <v>96</v>
      </c>
      <c r="H18" s="261">
        <f>G18/F18</f>
        <v>0.97929205345302461</v>
      </c>
      <c r="I18" s="261">
        <f>G18/E18</f>
        <v>1.0073452256033579</v>
      </c>
      <c r="J18" s="254" t="s">
        <v>1646</v>
      </c>
      <c r="K18" s="254" t="s">
        <v>1647</v>
      </c>
      <c r="L18" s="66" t="s">
        <v>53</v>
      </c>
      <c r="M18" s="40">
        <v>1</v>
      </c>
      <c r="N18" s="41">
        <f t="shared" ref="N18:N24" si="13">IF(H18&gt;1,1,H18)</f>
        <v>0.97929205345302461</v>
      </c>
      <c r="O18" s="41">
        <f>IF(I18&gt;1.25,1.25,I18)</f>
        <v>1.0073452256033579</v>
      </c>
      <c r="AC18" s="67">
        <f t="shared" si="9"/>
        <v>0.97929205345302461</v>
      </c>
      <c r="AD18" s="67">
        <f t="shared" si="9"/>
        <v>1.0073452256033579</v>
      </c>
    </row>
    <row r="19" spans="1:37" ht="22.5" outlineLevel="2" x14ac:dyDescent="0.25">
      <c r="A19" s="262" t="s">
        <v>57</v>
      </c>
      <c r="B19" s="155" t="s">
        <v>324</v>
      </c>
      <c r="C19" s="167" t="s">
        <v>321</v>
      </c>
      <c r="D19" s="208" t="s">
        <v>319</v>
      </c>
      <c r="E19" s="258">
        <v>64</v>
      </c>
      <c r="F19" s="258">
        <v>72.37</v>
      </c>
      <c r="G19" s="258">
        <v>76</v>
      </c>
      <c r="H19" s="261">
        <f t="shared" ref="H19:H24" si="14">G19/F19</f>
        <v>1.0501589056238771</v>
      </c>
      <c r="I19" s="261">
        <f t="shared" ref="I19:I24" si="15">G19/E19</f>
        <v>1.1875</v>
      </c>
      <c r="J19" s="254" t="s">
        <v>1648</v>
      </c>
      <c r="K19" s="254" t="s">
        <v>41</v>
      </c>
      <c r="L19" s="66" t="s">
        <v>53</v>
      </c>
      <c r="M19" s="40">
        <v>1</v>
      </c>
      <c r="N19" s="41">
        <f t="shared" si="13"/>
        <v>1</v>
      </c>
      <c r="O19" s="41">
        <f>IF(I19&gt;1.25,1.25,I19)</f>
        <v>1.1875</v>
      </c>
      <c r="AC19" s="67">
        <f t="shared" si="9"/>
        <v>1.0501589056238771</v>
      </c>
      <c r="AD19" s="67">
        <f t="shared" si="9"/>
        <v>1.1875</v>
      </c>
    </row>
    <row r="20" spans="1:37" ht="45" outlineLevel="2" x14ac:dyDescent="0.25">
      <c r="A20" s="262" t="s">
        <v>58</v>
      </c>
      <c r="B20" s="155" t="s">
        <v>701</v>
      </c>
      <c r="C20" s="167" t="s">
        <v>321</v>
      </c>
      <c r="D20" s="208" t="s">
        <v>319</v>
      </c>
      <c r="E20" s="258">
        <v>95.03</v>
      </c>
      <c r="F20" s="258">
        <v>95.04</v>
      </c>
      <c r="G20" s="258">
        <v>96.87</v>
      </c>
      <c r="H20" s="261">
        <f t="shared" si="14"/>
        <v>1.0192550505050504</v>
      </c>
      <c r="I20" s="261">
        <f t="shared" si="15"/>
        <v>1.0193623066400084</v>
      </c>
      <c r="J20" s="254" t="s">
        <v>1649</v>
      </c>
      <c r="K20" s="254" t="s">
        <v>41</v>
      </c>
      <c r="L20" s="66" t="s">
        <v>53</v>
      </c>
      <c r="M20" s="40">
        <v>1</v>
      </c>
      <c r="N20" s="41">
        <f>IF(H20&gt;1,1,H20)</f>
        <v>1</v>
      </c>
      <c r="O20" s="41">
        <f>IF(I20&gt;1.25,1.25,I20)</f>
        <v>1.0193623066400084</v>
      </c>
      <c r="AC20" s="67">
        <f t="shared" si="9"/>
        <v>1.0192550505050504</v>
      </c>
      <c r="AD20" s="67">
        <f t="shared" si="9"/>
        <v>1.0193623066400084</v>
      </c>
    </row>
    <row r="21" spans="1:37" ht="48.75" customHeight="1" outlineLevel="2" x14ac:dyDescent="0.25">
      <c r="A21" s="262" t="s">
        <v>59</v>
      </c>
      <c r="B21" s="155" t="s">
        <v>702</v>
      </c>
      <c r="C21" s="167" t="s">
        <v>321</v>
      </c>
      <c r="D21" s="208" t="s">
        <v>319</v>
      </c>
      <c r="E21" s="258">
        <v>97.02</v>
      </c>
      <c r="F21" s="258">
        <v>97.03</v>
      </c>
      <c r="G21" s="258">
        <v>96.45</v>
      </c>
      <c r="H21" s="261">
        <f t="shared" si="14"/>
        <v>0.99402246727816146</v>
      </c>
      <c r="I21" s="261">
        <f t="shared" si="15"/>
        <v>0.99412492269635133</v>
      </c>
      <c r="J21" s="254" t="s">
        <v>1650</v>
      </c>
      <c r="K21" s="255" t="s">
        <v>1651</v>
      </c>
      <c r="L21" s="66" t="s">
        <v>53</v>
      </c>
      <c r="M21" s="40">
        <v>1</v>
      </c>
      <c r="N21" s="41">
        <f t="shared" si="13"/>
        <v>0.99402246727816146</v>
      </c>
      <c r="O21" s="41">
        <f t="shared" ref="O21:O24" si="16">IF(I21&gt;1.25,1.25,I21)</f>
        <v>0.99412492269635133</v>
      </c>
      <c r="AC21" s="67">
        <f t="shared" si="9"/>
        <v>0.99402246727816146</v>
      </c>
      <c r="AD21" s="67">
        <f t="shared" si="9"/>
        <v>0.99412492269635133</v>
      </c>
    </row>
    <row r="22" spans="1:37" ht="29.25" customHeight="1" outlineLevel="2" x14ac:dyDescent="0.25">
      <c r="A22" s="262" t="s">
        <v>60</v>
      </c>
      <c r="B22" s="155" t="s">
        <v>325</v>
      </c>
      <c r="C22" s="167" t="s">
        <v>321</v>
      </c>
      <c r="D22" s="208" t="s">
        <v>319</v>
      </c>
      <c r="E22" s="258">
        <v>95.52</v>
      </c>
      <c r="F22" s="258">
        <v>95.53</v>
      </c>
      <c r="G22" s="258">
        <v>97.2</v>
      </c>
      <c r="H22" s="261">
        <f t="shared" si="14"/>
        <v>1.0174814194493877</v>
      </c>
      <c r="I22" s="261">
        <f t="shared" si="15"/>
        <v>1.0175879396984926</v>
      </c>
      <c r="J22" s="254" t="s">
        <v>1652</v>
      </c>
      <c r="K22" s="254" t="s">
        <v>41</v>
      </c>
      <c r="L22" s="66" t="s">
        <v>53</v>
      </c>
      <c r="M22" s="40">
        <v>1</v>
      </c>
      <c r="N22" s="41">
        <f t="shared" si="13"/>
        <v>1</v>
      </c>
      <c r="O22" s="41">
        <f t="shared" si="16"/>
        <v>1.0175879396984926</v>
      </c>
      <c r="AC22" s="67">
        <f t="shared" si="9"/>
        <v>1.0174814194493877</v>
      </c>
      <c r="AD22" s="67">
        <f t="shared" si="9"/>
        <v>1.0175879396984926</v>
      </c>
    </row>
    <row r="23" spans="1:37" ht="22.5" outlineLevel="2" x14ac:dyDescent="0.25">
      <c r="A23" s="262" t="s">
        <v>61</v>
      </c>
      <c r="B23" s="155" t="s">
        <v>62</v>
      </c>
      <c r="C23" s="167" t="s">
        <v>321</v>
      </c>
      <c r="D23" s="208" t="s">
        <v>319</v>
      </c>
      <c r="E23" s="258">
        <v>100</v>
      </c>
      <c r="F23" s="258">
        <v>99.8</v>
      </c>
      <c r="G23" s="258">
        <v>100</v>
      </c>
      <c r="H23" s="261">
        <f t="shared" si="14"/>
        <v>1.0020040080160322</v>
      </c>
      <c r="I23" s="261">
        <f t="shared" si="15"/>
        <v>1</v>
      </c>
      <c r="J23" s="254" t="s">
        <v>41</v>
      </c>
      <c r="K23" s="254" t="s">
        <v>41</v>
      </c>
      <c r="L23" s="66" t="s">
        <v>53</v>
      </c>
      <c r="M23" s="40">
        <v>1</v>
      </c>
      <c r="N23" s="41">
        <f t="shared" si="13"/>
        <v>1</v>
      </c>
      <c r="O23" s="41">
        <f t="shared" si="16"/>
        <v>1</v>
      </c>
      <c r="AB23" s="99">
        <v>1</v>
      </c>
      <c r="AC23" s="67">
        <f t="shared" si="9"/>
        <v>1.0020040080160322</v>
      </c>
      <c r="AD23" s="67">
        <f t="shared" si="9"/>
        <v>1</v>
      </c>
    </row>
    <row r="24" spans="1:37" ht="33.75" outlineLevel="2" x14ac:dyDescent="0.25">
      <c r="A24" s="262" t="s">
        <v>326</v>
      </c>
      <c r="B24" s="155" t="s">
        <v>703</v>
      </c>
      <c r="C24" s="167" t="s">
        <v>327</v>
      </c>
      <c r="D24" s="208" t="s">
        <v>319</v>
      </c>
      <c r="E24" s="258">
        <v>212</v>
      </c>
      <c r="F24" s="258">
        <v>150</v>
      </c>
      <c r="G24" s="258">
        <v>266</v>
      </c>
      <c r="H24" s="261">
        <f t="shared" si="14"/>
        <v>1.7733333333333334</v>
      </c>
      <c r="I24" s="261">
        <f t="shared" si="15"/>
        <v>1.2547169811320755</v>
      </c>
      <c r="J24" s="254" t="s">
        <v>1072</v>
      </c>
      <c r="K24" s="254" t="s">
        <v>704</v>
      </c>
      <c r="L24" s="66" t="s">
        <v>53</v>
      </c>
      <c r="M24" s="40">
        <v>1</v>
      </c>
      <c r="N24" s="41">
        <f t="shared" si="13"/>
        <v>1</v>
      </c>
      <c r="O24" s="41">
        <f t="shared" si="16"/>
        <v>1.25</v>
      </c>
      <c r="AC24" s="67">
        <f t="shared" si="9"/>
        <v>1.7733333333333334</v>
      </c>
      <c r="AD24" s="67">
        <f t="shared" si="9"/>
        <v>1.2547169811320755</v>
      </c>
    </row>
    <row r="25" spans="1:37" s="47" customFormat="1" ht="42" customHeight="1" outlineLevel="1" x14ac:dyDescent="0.25">
      <c r="A25" s="68" t="s">
        <v>47</v>
      </c>
      <c r="B25" s="571" t="s">
        <v>705</v>
      </c>
      <c r="C25" s="571"/>
      <c r="D25" s="571"/>
      <c r="E25" s="571"/>
      <c r="F25" s="571"/>
      <c r="G25" s="571"/>
      <c r="H25" s="69">
        <f>AVERAGE(N26:N35)</f>
        <v>0.98948234349919739</v>
      </c>
      <c r="I25" s="69">
        <f>AVERAGE(O26:O35)</f>
        <v>1.0599669618886025</v>
      </c>
      <c r="J25" s="70"/>
      <c r="K25" s="70"/>
      <c r="L25" s="71"/>
      <c r="M25" s="64"/>
      <c r="N25" s="51"/>
      <c r="O25" s="51"/>
      <c r="P25" s="49"/>
      <c r="Q25" s="49"/>
      <c r="R25" s="104">
        <f>COUNTA(C26:C35)</f>
        <v>10</v>
      </c>
      <c r="S25" s="103">
        <v>0</v>
      </c>
      <c r="T25" s="104">
        <f>COUNTIFS(AC26:AC35,"&gt;1,50")</f>
        <v>0</v>
      </c>
      <c r="U25" s="104">
        <f>COUNTIFS(AC26:AC35,"&gt;=0,995",AC26:AC35,"&lt;=1,5")</f>
        <v>8</v>
      </c>
      <c r="V25" s="104">
        <f>COUNTIFS(AC26:AC35,"&gt;=0,85",AC26:AC35,"&lt;0,995")</f>
        <v>2</v>
      </c>
      <c r="W25" s="104">
        <f>COUNTIFS(AC26:AC35,"&lt;0,85")</f>
        <v>0</v>
      </c>
      <c r="X25" s="52"/>
      <c r="Z25" s="96">
        <f>COUNTIFS(AD26:AD35,"&gt;=1,01")</f>
        <v>5</v>
      </c>
      <c r="AA25" s="96">
        <f>COUNTIFS(AD26:AD35,"&gt;=0,99",AD26:AD35,"&lt;1,01")</f>
        <v>3</v>
      </c>
      <c r="AB25" s="97">
        <f>COUNTIFS(AD26:AD48,"&lt;0,99")</f>
        <v>1</v>
      </c>
      <c r="AC25" s="67"/>
      <c r="AD25" s="67"/>
      <c r="AK25" s="47">
        <f>SUM(T25:X25)-R25</f>
        <v>0</v>
      </c>
    </row>
    <row r="26" spans="1:37" ht="33.75" outlineLevel="2" x14ac:dyDescent="0.25">
      <c r="A26" s="262" t="s">
        <v>64</v>
      </c>
      <c r="B26" s="155" t="s">
        <v>706</v>
      </c>
      <c r="C26" s="254" t="s">
        <v>321</v>
      </c>
      <c r="D26" s="251" t="s">
        <v>302</v>
      </c>
      <c r="E26" s="258">
        <v>13.8</v>
      </c>
      <c r="F26" s="258">
        <v>13.2</v>
      </c>
      <c r="G26" s="258">
        <v>12.6</v>
      </c>
      <c r="H26" s="261">
        <f>F26/G26</f>
        <v>1.0476190476190477</v>
      </c>
      <c r="I26" s="259">
        <f>E26/G26</f>
        <v>1.0952380952380953</v>
      </c>
      <c r="J26" s="254" t="s">
        <v>1653</v>
      </c>
      <c r="K26" s="254"/>
      <c r="L26" s="66" t="s">
        <v>53</v>
      </c>
      <c r="M26" s="40">
        <v>-1</v>
      </c>
      <c r="N26" s="41">
        <f t="shared" ref="N26:N35" si="17">IF(H26&gt;1,1,H26)</f>
        <v>1</v>
      </c>
      <c r="O26" s="41">
        <f t="shared" ref="O26:O34" si="18">IF(I26&gt;1.25,1.25,I26)</f>
        <v>1.0952380952380953</v>
      </c>
      <c r="AC26" s="67">
        <f t="shared" si="9"/>
        <v>1.0476190476190477</v>
      </c>
      <c r="AD26" s="67">
        <f t="shared" si="9"/>
        <v>1.0952380952380953</v>
      </c>
    </row>
    <row r="27" spans="1:37" ht="22.5" outlineLevel="2" x14ac:dyDescent="0.25">
      <c r="A27" s="262" t="s">
        <v>65</v>
      </c>
      <c r="B27" s="155" t="s">
        <v>341</v>
      </c>
      <c r="C27" s="254" t="s">
        <v>321</v>
      </c>
      <c r="D27" s="251" t="s">
        <v>302</v>
      </c>
      <c r="E27" s="258">
        <v>21.1</v>
      </c>
      <c r="F27" s="258">
        <v>20.100000000000001</v>
      </c>
      <c r="G27" s="258">
        <v>17.7</v>
      </c>
      <c r="H27" s="261">
        <f>F27/G27</f>
        <v>1.1355932203389831</v>
      </c>
      <c r="I27" s="259">
        <f>E27/G27</f>
        <v>1.1920903954802262</v>
      </c>
      <c r="J27" s="254" t="s">
        <v>1654</v>
      </c>
      <c r="K27" s="254"/>
      <c r="L27" s="66" t="s">
        <v>53</v>
      </c>
      <c r="M27" s="40">
        <v>-1</v>
      </c>
      <c r="N27" s="41">
        <f t="shared" si="17"/>
        <v>1</v>
      </c>
      <c r="O27" s="41">
        <f t="shared" si="18"/>
        <v>1.1920903954802262</v>
      </c>
      <c r="AC27" s="67">
        <f t="shared" si="9"/>
        <v>1.1355932203389831</v>
      </c>
      <c r="AD27" s="67">
        <f t="shared" si="9"/>
        <v>1.1920903954802262</v>
      </c>
      <c r="AE27" s="62">
        <v>1</v>
      </c>
    </row>
    <row r="28" spans="1:37" ht="67.5" outlineLevel="2" x14ac:dyDescent="0.25">
      <c r="A28" s="262" t="s">
        <v>66</v>
      </c>
      <c r="B28" s="263" t="s">
        <v>342</v>
      </c>
      <c r="C28" s="264" t="s">
        <v>343</v>
      </c>
      <c r="D28" s="208" t="s">
        <v>319</v>
      </c>
      <c r="E28" s="258">
        <v>1869</v>
      </c>
      <c r="F28" s="258">
        <v>1.746</v>
      </c>
      <c r="G28" s="258">
        <v>2.3929999999999998</v>
      </c>
      <c r="H28" s="259">
        <f>G28/F28</f>
        <v>1.3705612829324167</v>
      </c>
      <c r="I28" s="259">
        <f>G28*1000/E28</f>
        <v>1.2803638309256287</v>
      </c>
      <c r="J28" s="254" t="s">
        <v>1655</v>
      </c>
      <c r="K28" s="254" t="s">
        <v>41</v>
      </c>
      <c r="L28" s="66" t="s">
        <v>53</v>
      </c>
      <c r="M28" s="40">
        <v>1</v>
      </c>
      <c r="N28" s="41">
        <f t="shared" si="17"/>
        <v>1</v>
      </c>
      <c r="O28" s="41">
        <f t="shared" si="18"/>
        <v>1.25</v>
      </c>
      <c r="AC28" s="67">
        <f t="shared" si="9"/>
        <v>1.3705612829324167</v>
      </c>
      <c r="AD28" s="67">
        <f t="shared" si="9"/>
        <v>1.2803638309256287</v>
      </c>
    </row>
    <row r="29" spans="1:37" ht="22.5" outlineLevel="2" x14ac:dyDescent="0.25">
      <c r="A29" s="262" t="s">
        <v>67</v>
      </c>
      <c r="B29" s="155" t="s">
        <v>340</v>
      </c>
      <c r="C29" s="254" t="s">
        <v>321</v>
      </c>
      <c r="D29" s="208" t="s">
        <v>319</v>
      </c>
      <c r="E29" s="258">
        <v>59.7</v>
      </c>
      <c r="F29" s="258">
        <v>62.3</v>
      </c>
      <c r="G29" s="258">
        <v>60.42</v>
      </c>
      <c r="H29" s="259">
        <f>G29/F29</f>
        <v>0.96982343499197443</v>
      </c>
      <c r="I29" s="259">
        <f>G29/E29</f>
        <v>1.0120603015075376</v>
      </c>
      <c r="J29" s="254" t="s">
        <v>1656</v>
      </c>
      <c r="K29" s="254" t="s">
        <v>2057</v>
      </c>
      <c r="L29" s="66" t="s">
        <v>53</v>
      </c>
      <c r="M29" s="40">
        <v>1</v>
      </c>
      <c r="N29" s="41">
        <f t="shared" si="17"/>
        <v>0.96982343499197443</v>
      </c>
      <c r="O29" s="41">
        <f t="shared" si="18"/>
        <v>1.0120603015075376</v>
      </c>
      <c r="AC29" s="67">
        <f t="shared" si="9"/>
        <v>0.96982343499197443</v>
      </c>
      <c r="AD29" s="67">
        <f t="shared" si="9"/>
        <v>1.0120603015075376</v>
      </c>
    </row>
    <row r="30" spans="1:37" ht="108.75" customHeight="1" outlineLevel="2" x14ac:dyDescent="0.25">
      <c r="A30" s="262" t="s">
        <v>330</v>
      </c>
      <c r="B30" s="155" t="s">
        <v>328</v>
      </c>
      <c r="C30" s="254" t="s">
        <v>321</v>
      </c>
      <c r="D30" s="251" t="s">
        <v>302</v>
      </c>
      <c r="E30" s="258">
        <v>19.399999999999999</v>
      </c>
      <c r="F30" s="258">
        <v>18.5</v>
      </c>
      <c r="G30" s="258">
        <v>20</v>
      </c>
      <c r="H30" s="259">
        <f>F30/G30</f>
        <v>0.92500000000000004</v>
      </c>
      <c r="I30" s="259">
        <f>E30/G30</f>
        <v>0.97</v>
      </c>
      <c r="J30" s="255" t="s">
        <v>1657</v>
      </c>
      <c r="K30" s="255" t="s">
        <v>1658</v>
      </c>
      <c r="L30" s="66" t="s">
        <v>53</v>
      </c>
      <c r="M30" s="40">
        <v>-1</v>
      </c>
      <c r="N30" s="41">
        <f t="shared" si="17"/>
        <v>0.92500000000000004</v>
      </c>
      <c r="O30" s="41">
        <f t="shared" si="18"/>
        <v>0.97</v>
      </c>
      <c r="AC30" s="67">
        <f t="shared" si="9"/>
        <v>0.92500000000000004</v>
      </c>
      <c r="AD30" s="67">
        <f t="shared" si="9"/>
        <v>0.97</v>
      </c>
    </row>
    <row r="31" spans="1:37" ht="33.75" outlineLevel="2" x14ac:dyDescent="0.25">
      <c r="A31" s="262" t="s">
        <v>331</v>
      </c>
      <c r="B31" s="155" t="s">
        <v>329</v>
      </c>
      <c r="C31" s="254" t="s">
        <v>321</v>
      </c>
      <c r="D31" s="208" t="s">
        <v>319</v>
      </c>
      <c r="E31" s="258">
        <v>60.5</v>
      </c>
      <c r="F31" s="258">
        <v>59.2</v>
      </c>
      <c r="G31" s="258">
        <v>60.47</v>
      </c>
      <c r="H31" s="261">
        <f>G31/F31</f>
        <v>1.0214527027027027</v>
      </c>
      <c r="I31" s="261">
        <f>G31/E31</f>
        <v>0.99950413223140488</v>
      </c>
      <c r="J31" s="254" t="s">
        <v>41</v>
      </c>
      <c r="K31" s="254" t="s">
        <v>41</v>
      </c>
      <c r="L31" s="66" t="s">
        <v>53</v>
      </c>
      <c r="M31" s="40">
        <v>1</v>
      </c>
      <c r="N31" s="41">
        <f t="shared" si="17"/>
        <v>1</v>
      </c>
      <c r="O31" s="41">
        <f t="shared" si="18"/>
        <v>0.99950413223140488</v>
      </c>
      <c r="AC31" s="67">
        <f t="shared" si="9"/>
        <v>1.0214527027027027</v>
      </c>
      <c r="AD31" s="67">
        <f t="shared" si="9"/>
        <v>0.99950413223140488</v>
      </c>
    </row>
    <row r="32" spans="1:37" ht="33.75" outlineLevel="2" x14ac:dyDescent="0.25">
      <c r="A32" s="262" t="s">
        <v>332</v>
      </c>
      <c r="B32" s="155" t="s">
        <v>334</v>
      </c>
      <c r="C32" s="254" t="s">
        <v>321</v>
      </c>
      <c r="D32" s="208" t="s">
        <v>319</v>
      </c>
      <c r="E32" s="258">
        <v>88.2</v>
      </c>
      <c r="F32" s="258">
        <v>90.03</v>
      </c>
      <c r="G32" s="258">
        <v>90.1</v>
      </c>
      <c r="H32" s="261">
        <f t="shared" ref="H32:H35" si="19">G32/F32</f>
        <v>1.0007775186049095</v>
      </c>
      <c r="I32" s="261">
        <f t="shared" ref="I32:I35" si="20">G32/E32</f>
        <v>1.0215419501133787</v>
      </c>
      <c r="J32" s="254" t="s">
        <v>41</v>
      </c>
      <c r="K32" s="254" t="s">
        <v>41</v>
      </c>
      <c r="L32" s="66" t="s">
        <v>53</v>
      </c>
      <c r="M32" s="40">
        <v>1</v>
      </c>
      <c r="N32" s="41">
        <f t="shared" si="17"/>
        <v>1</v>
      </c>
      <c r="O32" s="41">
        <f t="shared" si="18"/>
        <v>1.0215419501133787</v>
      </c>
      <c r="AC32" s="67">
        <f t="shared" si="9"/>
        <v>1.0007775186049095</v>
      </c>
      <c r="AD32" s="67">
        <f t="shared" si="9"/>
        <v>1.0215419501133787</v>
      </c>
    </row>
    <row r="33" spans="1:37" ht="39.75" customHeight="1" outlineLevel="2" x14ac:dyDescent="0.25">
      <c r="A33" s="262" t="s">
        <v>333</v>
      </c>
      <c r="B33" s="155" t="s">
        <v>337</v>
      </c>
      <c r="C33" s="254" t="s">
        <v>321</v>
      </c>
      <c r="D33" s="208" t="s">
        <v>319</v>
      </c>
      <c r="E33" s="258">
        <v>95.6</v>
      </c>
      <c r="F33" s="258">
        <v>95.53</v>
      </c>
      <c r="G33" s="258">
        <v>95.53</v>
      </c>
      <c r="H33" s="261">
        <f t="shared" si="19"/>
        <v>1</v>
      </c>
      <c r="I33" s="261">
        <f t="shared" si="20"/>
        <v>0.99926778242677827</v>
      </c>
      <c r="J33" s="254" t="s">
        <v>41</v>
      </c>
      <c r="K33" s="254" t="s">
        <v>41</v>
      </c>
      <c r="L33" s="66" t="s">
        <v>53</v>
      </c>
      <c r="M33" s="40">
        <v>1</v>
      </c>
      <c r="N33" s="41">
        <f t="shared" si="17"/>
        <v>1</v>
      </c>
      <c r="O33" s="41">
        <f t="shared" si="18"/>
        <v>0.99926778242677827</v>
      </c>
      <c r="AC33" s="67">
        <f t="shared" si="9"/>
        <v>1</v>
      </c>
      <c r="AD33" s="67">
        <f t="shared" si="9"/>
        <v>0.99926778242677827</v>
      </c>
    </row>
    <row r="34" spans="1:37" ht="33.75" outlineLevel="2" x14ac:dyDescent="0.25">
      <c r="A34" s="262" t="s">
        <v>335</v>
      </c>
      <c r="B34" s="155" t="s">
        <v>69</v>
      </c>
      <c r="C34" s="254" t="s">
        <v>321</v>
      </c>
      <c r="D34" s="208" t="s">
        <v>319</v>
      </c>
      <c r="E34" s="258">
        <v>100</v>
      </c>
      <c r="F34" s="258">
        <v>100</v>
      </c>
      <c r="G34" s="258">
        <v>100</v>
      </c>
      <c r="H34" s="261">
        <f t="shared" si="19"/>
        <v>1</v>
      </c>
      <c r="I34" s="261">
        <f t="shared" si="20"/>
        <v>1</v>
      </c>
      <c r="J34" s="254" t="s">
        <v>41</v>
      </c>
      <c r="K34" s="254" t="s">
        <v>41</v>
      </c>
      <c r="L34" s="66" t="s">
        <v>53</v>
      </c>
      <c r="M34" s="40">
        <v>1</v>
      </c>
      <c r="N34" s="41">
        <f t="shared" si="17"/>
        <v>1</v>
      </c>
      <c r="O34" s="41">
        <f t="shared" si="18"/>
        <v>1</v>
      </c>
      <c r="AC34" s="67">
        <f t="shared" si="9"/>
        <v>1</v>
      </c>
      <c r="AD34" s="67">
        <f t="shared" si="9"/>
        <v>1</v>
      </c>
    </row>
    <row r="35" spans="1:37" ht="22.5" outlineLevel="2" x14ac:dyDescent="0.25">
      <c r="A35" s="262" t="s">
        <v>336</v>
      </c>
      <c r="B35" s="155" t="s">
        <v>68</v>
      </c>
      <c r="C35" s="254" t="s">
        <v>338</v>
      </c>
      <c r="D35" s="265" t="s">
        <v>339</v>
      </c>
      <c r="E35" s="258">
        <v>2.65</v>
      </c>
      <c r="F35" s="258">
        <v>2.7</v>
      </c>
      <c r="G35" s="258">
        <v>2.7</v>
      </c>
      <c r="H35" s="261">
        <f t="shared" si="19"/>
        <v>1</v>
      </c>
      <c r="I35" s="261">
        <f t="shared" si="20"/>
        <v>1.0188679245283019</v>
      </c>
      <c r="J35" s="254" t="s">
        <v>41</v>
      </c>
      <c r="K35" s="254" t="s">
        <v>41</v>
      </c>
      <c r="L35" s="66" t="s">
        <v>53</v>
      </c>
      <c r="M35" s="40">
        <v>0</v>
      </c>
      <c r="N35" s="41">
        <f t="shared" si="17"/>
        <v>1</v>
      </c>
      <c r="O35" s="41" t="s">
        <v>41</v>
      </c>
      <c r="AC35" s="67">
        <f t="shared" si="9"/>
        <v>1</v>
      </c>
      <c r="AD35" s="67" t="s">
        <v>41</v>
      </c>
    </row>
    <row r="36" spans="1:37" s="47" customFormat="1" outlineLevel="1" x14ac:dyDescent="0.25">
      <c r="A36" s="68" t="s">
        <v>48</v>
      </c>
      <c r="B36" s="571" t="s">
        <v>70</v>
      </c>
      <c r="C36" s="571"/>
      <c r="D36" s="571"/>
      <c r="E36" s="571"/>
      <c r="F36" s="571"/>
      <c r="G36" s="571"/>
      <c r="H36" s="69">
        <f>AVERAGE(N37:N41)</f>
        <v>0.99739345316678518</v>
      </c>
      <c r="I36" s="69">
        <f>AVERAGE(O37:O41)</f>
        <v>1.013692591639068</v>
      </c>
      <c r="J36" s="70"/>
      <c r="K36" s="70"/>
      <c r="L36" s="71"/>
      <c r="M36" s="64"/>
      <c r="N36" s="51"/>
      <c r="O36" s="51"/>
      <c r="P36" s="49"/>
      <c r="Q36" s="49"/>
      <c r="R36" s="104">
        <f>COUNTA(C37:C41)</f>
        <v>5</v>
      </c>
      <c r="S36" s="103">
        <v>2</v>
      </c>
      <c r="T36" s="104">
        <f>COUNTIFS(AC37:AC41,"&gt;1,50")</f>
        <v>0</v>
      </c>
      <c r="U36" s="104">
        <f>COUNTIFS(AC37:AC41,"&gt;=0,995",AC37:AC41,"&lt;=1,5")</f>
        <v>2</v>
      </c>
      <c r="V36" s="104">
        <f>COUNTIFS(AC37:AC41,"&gt;=0,85",AC37:AC41,"&lt;0,995")</f>
        <v>1</v>
      </c>
      <c r="W36" s="104">
        <f>COUNTIFS(AC37:AC41,"&lt;0,85")</f>
        <v>0</v>
      </c>
      <c r="X36" s="52">
        <v>2</v>
      </c>
      <c r="Z36" s="96">
        <f>COUNTIFS(AD37:AD41,"&gt;=1,01")</f>
        <v>1</v>
      </c>
      <c r="AA36" s="96">
        <f>COUNTIFS(AD37:AD41,"&gt;=0,99",AD37:AD41,"&lt;1,01")</f>
        <v>2</v>
      </c>
      <c r="AB36" s="97">
        <f>COUNTIFS(AD37:AD41,"&lt;0,99")</f>
        <v>0</v>
      </c>
      <c r="AC36" s="67"/>
      <c r="AD36" s="67"/>
      <c r="AK36" s="47">
        <f>SUM(T36:X36)-R36</f>
        <v>0</v>
      </c>
    </row>
    <row r="37" spans="1:37" ht="55.5" customHeight="1" outlineLevel="2" x14ac:dyDescent="0.25">
      <c r="A37" s="262" t="s">
        <v>71</v>
      </c>
      <c r="B37" s="155" t="s">
        <v>707</v>
      </c>
      <c r="C37" s="167" t="s">
        <v>708</v>
      </c>
      <c r="D37" s="251" t="s">
        <v>302</v>
      </c>
      <c r="E37" s="260">
        <v>4.7</v>
      </c>
      <c r="F37" s="146">
        <v>5.8</v>
      </c>
      <c r="G37" s="260">
        <v>5.3</v>
      </c>
      <c r="H37" s="261">
        <f>F37/G37</f>
        <v>1.0943396226415094</v>
      </c>
      <c r="I37" s="261">
        <f>E37/G37</f>
        <v>0.8867924528301887</v>
      </c>
      <c r="J37" s="254" t="s">
        <v>1659</v>
      </c>
      <c r="K37" s="254" t="s">
        <v>41</v>
      </c>
      <c r="L37" s="66" t="s">
        <v>53</v>
      </c>
      <c r="M37" s="40">
        <v>-1</v>
      </c>
      <c r="N37" s="41"/>
      <c r="O37" s="41"/>
      <c r="AC37" s="67"/>
      <c r="AD37" s="67"/>
      <c r="AE37" s="62">
        <v>1</v>
      </c>
    </row>
    <row r="38" spans="1:37" ht="56.25" outlineLevel="2" x14ac:dyDescent="0.25">
      <c r="A38" s="262" t="s">
        <v>72</v>
      </c>
      <c r="B38" s="155" t="s">
        <v>345</v>
      </c>
      <c r="C38" s="167" t="s">
        <v>346</v>
      </c>
      <c r="D38" s="251" t="s">
        <v>302</v>
      </c>
      <c r="E38" s="260">
        <v>35.6</v>
      </c>
      <c r="F38" s="146">
        <v>38.5</v>
      </c>
      <c r="G38" s="260">
        <v>33.299999999999997</v>
      </c>
      <c r="H38" s="261">
        <f>F38/G38</f>
        <v>1.1561561561561562</v>
      </c>
      <c r="I38" s="261">
        <f>E38/G38</f>
        <v>1.0690690690690692</v>
      </c>
      <c r="J38" s="254" t="s">
        <v>1659</v>
      </c>
      <c r="K38" s="254" t="s">
        <v>41</v>
      </c>
      <c r="L38" s="66" t="s">
        <v>53</v>
      </c>
      <c r="M38" s="40">
        <v>-1</v>
      </c>
      <c r="N38" s="41"/>
      <c r="O38" s="41"/>
      <c r="AC38" s="67"/>
      <c r="AD38" s="67"/>
    </row>
    <row r="39" spans="1:37" ht="22.5" outlineLevel="2" x14ac:dyDescent="0.25">
      <c r="A39" s="262" t="s">
        <v>73</v>
      </c>
      <c r="B39" s="155" t="s">
        <v>344</v>
      </c>
      <c r="C39" s="167" t="s">
        <v>321</v>
      </c>
      <c r="D39" s="208" t="s">
        <v>319</v>
      </c>
      <c r="E39" s="266">
        <v>55.7</v>
      </c>
      <c r="F39" s="146">
        <v>56.7</v>
      </c>
      <c r="G39" s="266">
        <v>57.7</v>
      </c>
      <c r="H39" s="261">
        <f>G39/F39</f>
        <v>1.0176366843033511</v>
      </c>
      <c r="I39" s="261">
        <f>G39/E39</f>
        <v>1.0359066427289048</v>
      </c>
      <c r="J39" s="254" t="s">
        <v>41</v>
      </c>
      <c r="K39" s="254" t="s">
        <v>41</v>
      </c>
      <c r="L39" s="66" t="s">
        <v>53</v>
      </c>
      <c r="M39" s="40">
        <v>1</v>
      </c>
      <c r="N39" s="41">
        <f t="shared" ref="N39:N41" si="21">IF(H39&gt;1,1,H39)</f>
        <v>1</v>
      </c>
      <c r="O39" s="41">
        <f t="shared" ref="O39:O43" si="22">IF(I39&gt;1.25,1.25,I39)</f>
        <v>1.0359066427289048</v>
      </c>
      <c r="AC39" s="67">
        <f t="shared" si="9"/>
        <v>1.0176366843033511</v>
      </c>
      <c r="AD39" s="67">
        <f t="shared" si="9"/>
        <v>1.0359066427289048</v>
      </c>
      <c r="AE39" s="62">
        <v>1</v>
      </c>
    </row>
    <row r="40" spans="1:37" ht="25.5" customHeight="1" outlineLevel="2" x14ac:dyDescent="0.25">
      <c r="A40" s="262" t="s">
        <v>74</v>
      </c>
      <c r="B40" s="155" t="s">
        <v>709</v>
      </c>
      <c r="C40" s="167" t="s">
        <v>321</v>
      </c>
      <c r="D40" s="208" t="s">
        <v>319</v>
      </c>
      <c r="E40" s="257">
        <v>99.2</v>
      </c>
      <c r="F40" s="146">
        <v>98.15</v>
      </c>
      <c r="G40" s="257">
        <v>99.1</v>
      </c>
      <c r="H40" s="261">
        <f t="shared" ref="H40:H41" si="23">G40/F40</f>
        <v>1.0096790626591949</v>
      </c>
      <c r="I40" s="261">
        <f t="shared" ref="I40:I41" si="24">G40/E40</f>
        <v>0.99899193548387089</v>
      </c>
      <c r="J40" s="254" t="s">
        <v>41</v>
      </c>
      <c r="K40" s="254" t="s">
        <v>41</v>
      </c>
      <c r="L40" s="66" t="s">
        <v>53</v>
      </c>
      <c r="M40" s="40">
        <v>1</v>
      </c>
      <c r="N40" s="41">
        <f t="shared" si="21"/>
        <v>1</v>
      </c>
      <c r="O40" s="41">
        <f t="shared" si="22"/>
        <v>0.99899193548387089</v>
      </c>
      <c r="AC40" s="67">
        <f t="shared" si="9"/>
        <v>1.0096790626591949</v>
      </c>
      <c r="AD40" s="67">
        <f t="shared" si="9"/>
        <v>0.99899193548387089</v>
      </c>
    </row>
    <row r="41" spans="1:37" ht="67.5" outlineLevel="2" x14ac:dyDescent="0.25">
      <c r="A41" s="262" t="s">
        <v>75</v>
      </c>
      <c r="B41" s="150" t="s">
        <v>710</v>
      </c>
      <c r="C41" s="167" t="s">
        <v>321</v>
      </c>
      <c r="D41" s="208" t="s">
        <v>319</v>
      </c>
      <c r="E41" s="266">
        <v>97.1</v>
      </c>
      <c r="F41" s="146">
        <v>98.47</v>
      </c>
      <c r="G41" s="266">
        <v>97.7</v>
      </c>
      <c r="H41" s="261">
        <f t="shared" si="23"/>
        <v>0.99218035950035544</v>
      </c>
      <c r="I41" s="261">
        <f t="shared" si="24"/>
        <v>1.0061791967044285</v>
      </c>
      <c r="J41" s="254" t="s">
        <v>1660</v>
      </c>
      <c r="K41" s="254" t="s">
        <v>1661</v>
      </c>
      <c r="L41" s="66" t="s">
        <v>53</v>
      </c>
      <c r="M41" s="40">
        <v>1</v>
      </c>
      <c r="N41" s="41">
        <f t="shared" si="21"/>
        <v>0.99218035950035544</v>
      </c>
      <c r="O41" s="41">
        <f t="shared" si="22"/>
        <v>1.0061791967044285</v>
      </c>
      <c r="AC41" s="67">
        <f t="shared" si="9"/>
        <v>0.99218035950035544</v>
      </c>
      <c r="AD41" s="67">
        <f t="shared" si="9"/>
        <v>1.0061791967044285</v>
      </c>
    </row>
    <row r="42" spans="1:37" s="47" customFormat="1" outlineLevel="1" x14ac:dyDescent="0.25">
      <c r="A42" s="68" t="s">
        <v>49</v>
      </c>
      <c r="B42" s="571" t="s">
        <v>76</v>
      </c>
      <c r="C42" s="571"/>
      <c r="D42" s="571"/>
      <c r="E42" s="571"/>
      <c r="F42" s="571"/>
      <c r="G42" s="571"/>
      <c r="H42" s="69">
        <f>AVERAGE(N43:N48)</f>
        <v>0.82352941176470595</v>
      </c>
      <c r="I42" s="69">
        <f>AVERAGE(O43:O48)</f>
        <v>1.0135135135135136</v>
      </c>
      <c r="J42" s="70"/>
      <c r="K42" s="70"/>
      <c r="L42" s="71"/>
      <c r="M42" s="64"/>
      <c r="N42" s="51"/>
      <c r="O42" s="41"/>
      <c r="P42" s="49"/>
      <c r="Q42" s="49"/>
      <c r="R42" s="104">
        <f>COUNTA(C43:C48)</f>
        <v>6</v>
      </c>
      <c r="S42" s="103">
        <v>0</v>
      </c>
      <c r="T42" s="104">
        <f>COUNTIFS(AC43:AC48,"&gt;1,50")</f>
        <v>0</v>
      </c>
      <c r="U42" s="104">
        <f>COUNTIFS(AC43:AC48,"&gt;=0,995",AC43:AC48,"&lt;=1,5")</f>
        <v>4</v>
      </c>
      <c r="V42" s="104">
        <f>COUNTIFS(AC43:AC48,"&gt;=0,85",AC43:AC48,"&lt;0,995")</f>
        <v>1</v>
      </c>
      <c r="W42" s="104">
        <f>COUNTIFS(AC43:AC48,"&lt;0,85")</f>
        <v>1</v>
      </c>
      <c r="X42" s="52"/>
      <c r="Z42" s="96">
        <f>COUNTIFS(AD43:AD48,"&gt;=1,01")</f>
        <v>2</v>
      </c>
      <c r="AA42" s="96">
        <f>COUNTIFS(AD43:AD48,"&gt;=0,99",AD43:AD48,"&lt;1,01")</f>
        <v>1</v>
      </c>
      <c r="AB42" s="97">
        <f>COUNTIFS(AD43:AD48,"&lt;0,99")</f>
        <v>0</v>
      </c>
      <c r="AC42" s="67"/>
      <c r="AD42" s="67"/>
      <c r="AK42" s="47">
        <f>SUM(T42:X42)-R42</f>
        <v>0</v>
      </c>
    </row>
    <row r="43" spans="1:37" ht="67.5" outlineLevel="2" x14ac:dyDescent="0.25">
      <c r="A43" s="262" t="s">
        <v>77</v>
      </c>
      <c r="B43" s="155" t="s">
        <v>711</v>
      </c>
      <c r="C43" s="254" t="s">
        <v>321</v>
      </c>
      <c r="D43" s="251" t="s">
        <v>302</v>
      </c>
      <c r="E43" s="266">
        <v>37.5</v>
      </c>
      <c r="F43" s="266">
        <v>37</v>
      </c>
      <c r="G43" s="266">
        <v>37</v>
      </c>
      <c r="H43" s="261">
        <f>F43/G43</f>
        <v>1</v>
      </c>
      <c r="I43" s="261">
        <f>E43/G43</f>
        <v>1.0135135135135136</v>
      </c>
      <c r="J43" s="254" t="s">
        <v>41</v>
      </c>
      <c r="K43" s="254" t="s">
        <v>41</v>
      </c>
      <c r="L43" s="66" t="s">
        <v>53</v>
      </c>
      <c r="M43" s="40">
        <v>-1</v>
      </c>
      <c r="N43" s="41">
        <f t="shared" ref="N43:N48" si="25">IF(H43&gt;1,1,H43)</f>
        <v>1</v>
      </c>
      <c r="O43" s="41">
        <f t="shared" si="22"/>
        <v>1.0135135135135136</v>
      </c>
      <c r="AC43" s="67">
        <f t="shared" si="9"/>
        <v>1</v>
      </c>
      <c r="AD43" s="67">
        <f t="shared" si="9"/>
        <v>1.0135135135135136</v>
      </c>
    </row>
    <row r="44" spans="1:37" ht="45" outlineLevel="2" x14ac:dyDescent="0.25">
      <c r="A44" s="262" t="s">
        <v>78</v>
      </c>
      <c r="B44" s="155" t="s">
        <v>347</v>
      </c>
      <c r="C44" s="254" t="s">
        <v>343</v>
      </c>
      <c r="D44" s="265" t="s">
        <v>339</v>
      </c>
      <c r="E44" s="266">
        <v>78</v>
      </c>
      <c r="F44" s="266">
        <v>17</v>
      </c>
      <c r="G44" s="266">
        <v>16</v>
      </c>
      <c r="H44" s="261">
        <f>G44/F44</f>
        <v>0.94117647058823528</v>
      </c>
      <c r="I44" s="261">
        <f t="shared" ref="I44:I48" si="26">E44/G44</f>
        <v>4.875</v>
      </c>
      <c r="J44" s="254" t="s">
        <v>1662</v>
      </c>
      <c r="K44" s="254" t="s">
        <v>1663</v>
      </c>
      <c r="L44" s="66" t="s">
        <v>714</v>
      </c>
      <c r="M44" s="40">
        <v>0</v>
      </c>
      <c r="N44" s="41">
        <f t="shared" si="25"/>
        <v>0.94117647058823528</v>
      </c>
      <c r="O44" s="73" t="s">
        <v>41</v>
      </c>
      <c r="AC44" s="67">
        <f t="shared" si="9"/>
        <v>0.94117647058823528</v>
      </c>
      <c r="AD44" s="67" t="s">
        <v>41</v>
      </c>
      <c r="AE44" s="62">
        <v>1</v>
      </c>
    </row>
    <row r="45" spans="1:37" ht="66.75" customHeight="1" outlineLevel="2" x14ac:dyDescent="0.25">
      <c r="A45" s="267" t="s">
        <v>79</v>
      </c>
      <c r="B45" s="155" t="s">
        <v>691</v>
      </c>
      <c r="C45" s="254" t="s">
        <v>343</v>
      </c>
      <c r="D45" s="265" t="s">
        <v>339</v>
      </c>
      <c r="E45" s="266">
        <v>3</v>
      </c>
      <c r="F45" s="266">
        <v>3</v>
      </c>
      <c r="G45" s="266">
        <v>3</v>
      </c>
      <c r="H45" s="261">
        <f>G45/F45</f>
        <v>1</v>
      </c>
      <c r="I45" s="261">
        <f t="shared" si="26"/>
        <v>1</v>
      </c>
      <c r="J45" s="254" t="s">
        <v>41</v>
      </c>
      <c r="K45" s="254" t="s">
        <v>41</v>
      </c>
      <c r="L45" s="66" t="s">
        <v>714</v>
      </c>
      <c r="M45" s="40">
        <v>0</v>
      </c>
      <c r="N45" s="41">
        <f t="shared" si="25"/>
        <v>1</v>
      </c>
      <c r="O45" s="73" t="s">
        <v>41</v>
      </c>
      <c r="AC45" s="67">
        <f t="shared" si="9"/>
        <v>1</v>
      </c>
      <c r="AD45" s="67">
        <f t="shared" si="9"/>
        <v>1</v>
      </c>
    </row>
    <row r="46" spans="1:37" ht="66.75" customHeight="1" outlineLevel="2" x14ac:dyDescent="0.25">
      <c r="A46" s="262" t="s">
        <v>81</v>
      </c>
      <c r="B46" s="155" t="s">
        <v>712</v>
      </c>
      <c r="C46" s="254" t="s">
        <v>343</v>
      </c>
      <c r="D46" s="72" t="s">
        <v>339</v>
      </c>
      <c r="E46" s="266">
        <v>0</v>
      </c>
      <c r="F46" s="266">
        <v>1</v>
      </c>
      <c r="G46" s="266">
        <v>0</v>
      </c>
      <c r="H46" s="261">
        <f>G46/F46</f>
        <v>0</v>
      </c>
      <c r="I46" s="261" t="s">
        <v>41</v>
      </c>
      <c r="J46" s="254" t="s">
        <v>1664</v>
      </c>
      <c r="K46" s="254" t="s">
        <v>1665</v>
      </c>
      <c r="L46" s="66" t="s">
        <v>714</v>
      </c>
      <c r="M46" s="40">
        <v>0</v>
      </c>
      <c r="N46" s="41">
        <f t="shared" si="25"/>
        <v>0</v>
      </c>
      <c r="O46" s="73" t="s">
        <v>41</v>
      </c>
      <c r="AC46" s="67">
        <f t="shared" si="9"/>
        <v>0</v>
      </c>
      <c r="AD46" s="67" t="str">
        <f t="shared" si="9"/>
        <v>-</v>
      </c>
    </row>
    <row r="47" spans="1:37" ht="84.75" customHeight="1" outlineLevel="2" x14ac:dyDescent="0.25">
      <c r="A47" s="262" t="s">
        <v>82</v>
      </c>
      <c r="B47" s="155" t="s">
        <v>713</v>
      </c>
      <c r="C47" s="254" t="s">
        <v>343</v>
      </c>
      <c r="D47" s="72" t="s">
        <v>339</v>
      </c>
      <c r="E47" s="266">
        <v>16</v>
      </c>
      <c r="F47" s="266">
        <v>3</v>
      </c>
      <c r="G47" s="266">
        <v>3</v>
      </c>
      <c r="H47" s="261">
        <f>G47/F47</f>
        <v>1</v>
      </c>
      <c r="I47" s="261">
        <f t="shared" si="26"/>
        <v>5.333333333333333</v>
      </c>
      <c r="J47" s="254" t="s">
        <v>41</v>
      </c>
      <c r="K47" s="254" t="s">
        <v>41</v>
      </c>
      <c r="L47" s="66" t="s">
        <v>53</v>
      </c>
      <c r="M47" s="40">
        <v>0</v>
      </c>
      <c r="N47" s="41">
        <f t="shared" si="25"/>
        <v>1</v>
      </c>
      <c r="O47" s="73" t="s">
        <v>41</v>
      </c>
      <c r="AC47" s="67">
        <f t="shared" si="9"/>
        <v>1</v>
      </c>
      <c r="AD47" s="67"/>
    </row>
    <row r="48" spans="1:37" ht="72.75" customHeight="1" outlineLevel="2" x14ac:dyDescent="0.25">
      <c r="A48" s="262" t="s">
        <v>1192</v>
      </c>
      <c r="B48" s="155" t="s">
        <v>1193</v>
      </c>
      <c r="C48" s="254" t="s">
        <v>892</v>
      </c>
      <c r="D48" s="72" t="s">
        <v>339</v>
      </c>
      <c r="E48" s="266">
        <v>200</v>
      </c>
      <c r="F48" s="266">
        <v>86</v>
      </c>
      <c r="G48" s="266">
        <v>100</v>
      </c>
      <c r="H48" s="261">
        <f>G48/F48</f>
        <v>1.1627906976744187</v>
      </c>
      <c r="I48" s="261">
        <f t="shared" si="26"/>
        <v>2</v>
      </c>
      <c r="J48" s="254" t="s">
        <v>1666</v>
      </c>
      <c r="K48" s="254" t="s">
        <v>1667</v>
      </c>
      <c r="L48" s="66" t="s">
        <v>53</v>
      </c>
      <c r="M48" s="40">
        <v>0</v>
      </c>
      <c r="N48" s="41">
        <f t="shared" si="25"/>
        <v>1</v>
      </c>
      <c r="O48" s="73" t="s">
        <v>41</v>
      </c>
      <c r="AC48" s="67">
        <f t="shared" si="9"/>
        <v>1.1627906976744187</v>
      </c>
      <c r="AD48" s="67">
        <f t="shared" si="9"/>
        <v>2</v>
      </c>
    </row>
    <row r="49" spans="1:37" s="47" customFormat="1" outlineLevel="1" x14ac:dyDescent="0.25">
      <c r="A49" s="68" t="s">
        <v>50</v>
      </c>
      <c r="B49" s="571" t="s">
        <v>83</v>
      </c>
      <c r="C49" s="571"/>
      <c r="D49" s="571"/>
      <c r="E49" s="571"/>
      <c r="F49" s="571"/>
      <c r="G49" s="571"/>
      <c r="H49" s="69">
        <f>AVERAGE(N50:N55)</f>
        <v>0.9329429699192483</v>
      </c>
      <c r="I49" s="69">
        <f>AVERAGE(O50:O55)</f>
        <v>1.0872771748023764</v>
      </c>
      <c r="J49" s="70"/>
      <c r="K49" s="70"/>
      <c r="L49" s="71"/>
      <c r="M49" s="64"/>
      <c r="N49" s="51"/>
      <c r="O49" s="51"/>
      <c r="P49" s="49"/>
      <c r="Q49" s="49"/>
      <c r="R49" s="104">
        <f>COUNTA(C50:C55)</f>
        <v>6</v>
      </c>
      <c r="S49" s="103">
        <v>0</v>
      </c>
      <c r="T49" s="104">
        <f>COUNTIFS(AC50:AC55,"&gt;1,50")</f>
        <v>0</v>
      </c>
      <c r="U49" s="104">
        <f>COUNTIFS(AC50:AC55,"&gt;=0,995",AC50:AC55,"&lt;=1,5")</f>
        <v>4</v>
      </c>
      <c r="V49" s="104">
        <f>COUNTIFS(AC50:AC55,"&gt;=0,85",AC50:AC55,"&lt;0,995")</f>
        <v>1</v>
      </c>
      <c r="W49" s="104">
        <f>COUNTIFS(AC50:AC55,"&lt;0,85")</f>
        <v>1</v>
      </c>
      <c r="X49" s="52"/>
      <c r="Z49" s="96">
        <f>COUNTIFS(AD50:AD55,"&gt;=1,01")</f>
        <v>5</v>
      </c>
      <c r="AA49" s="96">
        <f>COUNTIFS(AD50:AD55,"&gt;=0,99",AD50:AD55,"&lt;1,01")</f>
        <v>1</v>
      </c>
      <c r="AB49" s="97">
        <f>COUNTIFS(AD50:AD55,"&lt;0,99")</f>
        <v>0</v>
      </c>
      <c r="AC49" s="67"/>
      <c r="AD49" s="67"/>
      <c r="AK49" s="47">
        <f>SUM(T49:X49)-R49</f>
        <v>0</v>
      </c>
    </row>
    <row r="50" spans="1:37" ht="56.25" outlineLevel="2" x14ac:dyDescent="0.25">
      <c r="A50" s="262" t="s">
        <v>84</v>
      </c>
      <c r="B50" s="250" t="s">
        <v>715</v>
      </c>
      <c r="C50" s="151" t="s">
        <v>321</v>
      </c>
      <c r="D50" s="208" t="s">
        <v>319</v>
      </c>
      <c r="E50" s="252">
        <v>81.42</v>
      </c>
      <c r="F50" s="252">
        <v>82.7</v>
      </c>
      <c r="G50" s="252">
        <v>95.5</v>
      </c>
      <c r="H50" s="261">
        <f t="shared" ref="H50:H55" si="27">G50/F50</f>
        <v>1.1547762998790809</v>
      </c>
      <c r="I50" s="261">
        <f>G50/E50</f>
        <v>1.172930483910587</v>
      </c>
      <c r="J50" s="254" t="s">
        <v>699</v>
      </c>
      <c r="K50" s="254" t="s">
        <v>41</v>
      </c>
      <c r="L50" s="66" t="s">
        <v>53</v>
      </c>
      <c r="M50" s="40">
        <v>1</v>
      </c>
      <c r="N50" s="41">
        <f>IF(H50&gt;1,1,H50)</f>
        <v>1</v>
      </c>
      <c r="O50" s="41">
        <f>IF(I50&gt;1.25,1.25,I50)</f>
        <v>1.172930483910587</v>
      </c>
      <c r="AC50" s="67">
        <f t="shared" si="9"/>
        <v>1.1547762998790809</v>
      </c>
      <c r="AD50" s="67">
        <f t="shared" si="9"/>
        <v>1.172930483910587</v>
      </c>
    </row>
    <row r="51" spans="1:37" ht="78.75" outlineLevel="2" x14ac:dyDescent="0.25">
      <c r="A51" s="262" t="s">
        <v>85</v>
      </c>
      <c r="B51" s="250" t="s">
        <v>716</v>
      </c>
      <c r="C51" s="151" t="s">
        <v>321</v>
      </c>
      <c r="D51" s="208" t="s">
        <v>319</v>
      </c>
      <c r="E51" s="256">
        <v>83.46</v>
      </c>
      <c r="F51" s="252">
        <v>78.3</v>
      </c>
      <c r="G51" s="256">
        <v>89.7</v>
      </c>
      <c r="H51" s="261">
        <f t="shared" si="27"/>
        <v>1.1455938697318009</v>
      </c>
      <c r="I51" s="261">
        <f t="shared" ref="I51" si="28">G51/E51</f>
        <v>1.0747663551401869</v>
      </c>
      <c r="J51" s="254" t="s">
        <v>1668</v>
      </c>
      <c r="K51" s="254" t="s">
        <v>41</v>
      </c>
      <c r="L51" s="66" t="s">
        <v>53</v>
      </c>
      <c r="M51" s="40">
        <v>1</v>
      </c>
      <c r="N51" s="41">
        <f t="shared" ref="N51:N72" si="29">IF(H51&gt;1,1,H51)</f>
        <v>1</v>
      </c>
      <c r="O51" s="41">
        <f t="shared" ref="O51:O58" si="30">IF(I51&gt;1.25,1.25,I51)</f>
        <v>1.0747663551401869</v>
      </c>
      <c r="AC51" s="67">
        <f t="shared" si="9"/>
        <v>1.1455938697318009</v>
      </c>
      <c r="AD51" s="67">
        <f t="shared" si="9"/>
        <v>1.0747663551401869</v>
      </c>
    </row>
    <row r="52" spans="1:37" ht="112.5" outlineLevel="2" x14ac:dyDescent="0.25">
      <c r="A52" s="262" t="s">
        <v>348</v>
      </c>
      <c r="B52" s="250" t="s">
        <v>717</v>
      </c>
      <c r="C52" s="148" t="s">
        <v>327</v>
      </c>
      <c r="D52" s="208" t="s">
        <v>319</v>
      </c>
      <c r="E52" s="256">
        <v>10001</v>
      </c>
      <c r="F52" s="252">
        <v>9.8049999999999997</v>
      </c>
      <c r="G52" s="256">
        <v>10.526999999999999</v>
      </c>
      <c r="H52" s="261">
        <f t="shared" si="27"/>
        <v>1.0736359000509943</v>
      </c>
      <c r="I52" s="261">
        <f>G52*1000/E52</f>
        <v>1.0525947405259475</v>
      </c>
      <c r="J52" s="254" t="s">
        <v>1669</v>
      </c>
      <c r="K52" s="254" t="s">
        <v>41</v>
      </c>
      <c r="L52" s="66" t="s">
        <v>53</v>
      </c>
      <c r="M52" s="40">
        <v>1</v>
      </c>
      <c r="N52" s="41">
        <f t="shared" si="29"/>
        <v>1</v>
      </c>
      <c r="O52" s="41">
        <f t="shared" si="30"/>
        <v>1.0525947405259475</v>
      </c>
      <c r="AC52" s="67">
        <f t="shared" si="9"/>
        <v>1.0736359000509943</v>
      </c>
      <c r="AD52" s="67">
        <f t="shared" si="9"/>
        <v>1.0525947405259475</v>
      </c>
    </row>
    <row r="53" spans="1:37" ht="78.75" outlineLevel="2" x14ac:dyDescent="0.25">
      <c r="A53" s="262" t="s">
        <v>349</v>
      </c>
      <c r="B53" s="250" t="s">
        <v>718</v>
      </c>
      <c r="C53" s="148" t="s">
        <v>327</v>
      </c>
      <c r="D53" s="208" t="s">
        <v>319</v>
      </c>
      <c r="E53" s="256">
        <v>2984</v>
      </c>
      <c r="F53" s="252">
        <v>3217</v>
      </c>
      <c r="G53" s="256">
        <v>3114</v>
      </c>
      <c r="H53" s="261">
        <f t="shared" si="27"/>
        <v>0.96798259247746343</v>
      </c>
      <c r="I53" s="261">
        <f>G53/E53</f>
        <v>1.0435656836461127</v>
      </c>
      <c r="J53" s="254" t="s">
        <v>2085</v>
      </c>
      <c r="K53" s="254" t="s">
        <v>1670</v>
      </c>
      <c r="L53" s="66" t="s">
        <v>53</v>
      </c>
      <c r="M53" s="40">
        <v>1</v>
      </c>
      <c r="N53" s="41">
        <f t="shared" si="29"/>
        <v>0.96798259247746343</v>
      </c>
      <c r="O53" s="41">
        <f>IF(I53&gt;1.25,1.25,I53)</f>
        <v>1.0435656836461127</v>
      </c>
      <c r="AC53" s="67">
        <f t="shared" si="9"/>
        <v>0.96798259247746343</v>
      </c>
      <c r="AD53" s="67">
        <f t="shared" si="9"/>
        <v>1.0435656836461127</v>
      </c>
    </row>
    <row r="54" spans="1:37" ht="67.5" outlineLevel="2" x14ac:dyDescent="0.25">
      <c r="A54" s="262" t="s">
        <v>350</v>
      </c>
      <c r="B54" s="250" t="s">
        <v>719</v>
      </c>
      <c r="C54" s="148" t="s">
        <v>327</v>
      </c>
      <c r="D54" s="208" t="s">
        <v>319</v>
      </c>
      <c r="E54" s="256">
        <v>7604</v>
      </c>
      <c r="F54" s="252">
        <v>7567</v>
      </c>
      <c r="G54" s="256">
        <v>7550</v>
      </c>
      <c r="H54" s="261">
        <f t="shared" si="27"/>
        <v>0.99775340293379144</v>
      </c>
      <c r="I54" s="261">
        <f>G54/E54</f>
        <v>0.99289847448711199</v>
      </c>
      <c r="J54" s="254" t="s">
        <v>2058</v>
      </c>
      <c r="K54" s="254" t="s">
        <v>1670</v>
      </c>
      <c r="L54" s="66" t="s">
        <v>53</v>
      </c>
      <c r="M54" s="40">
        <v>1</v>
      </c>
      <c r="N54" s="41">
        <f t="shared" si="29"/>
        <v>0.99775340293379144</v>
      </c>
      <c r="O54" s="41">
        <f t="shared" si="30"/>
        <v>0.99289847448711199</v>
      </c>
      <c r="AC54" s="67">
        <f t="shared" si="9"/>
        <v>0.99775340293379144</v>
      </c>
      <c r="AD54" s="67">
        <f t="shared" si="9"/>
        <v>0.99289847448711199</v>
      </c>
    </row>
    <row r="55" spans="1:37" ht="56.25" outlineLevel="2" x14ac:dyDescent="0.25">
      <c r="A55" s="262" t="s">
        <v>351</v>
      </c>
      <c r="B55" s="152" t="s">
        <v>720</v>
      </c>
      <c r="C55" s="151" t="s">
        <v>321</v>
      </c>
      <c r="D55" s="208" t="s">
        <v>319</v>
      </c>
      <c r="E55" s="256">
        <v>32.69</v>
      </c>
      <c r="F55" s="252">
        <v>61.4</v>
      </c>
      <c r="G55" s="256">
        <v>38.799999999999997</v>
      </c>
      <c r="H55" s="261">
        <f t="shared" si="27"/>
        <v>0.63192182410423448</v>
      </c>
      <c r="I55" s="261">
        <f t="shared" ref="I55" si="31">G55/E55</f>
        <v>1.1869073111043131</v>
      </c>
      <c r="J55" s="254" t="s">
        <v>2086</v>
      </c>
      <c r="K55" s="254" t="s">
        <v>1671</v>
      </c>
      <c r="L55" s="66" t="s">
        <v>53</v>
      </c>
      <c r="M55" s="40">
        <v>1</v>
      </c>
      <c r="N55" s="41">
        <f t="shared" si="29"/>
        <v>0.63192182410423448</v>
      </c>
      <c r="O55" s="41">
        <f t="shared" si="30"/>
        <v>1.1869073111043131</v>
      </c>
      <c r="AC55" s="67">
        <f t="shared" si="9"/>
        <v>0.63192182410423448</v>
      </c>
      <c r="AD55" s="67">
        <f t="shared" si="9"/>
        <v>1.1869073111043131</v>
      </c>
    </row>
    <row r="56" spans="1:37" s="47" customFormat="1" outlineLevel="1" x14ac:dyDescent="0.25">
      <c r="A56" s="68" t="s">
        <v>51</v>
      </c>
      <c r="B56" s="571" t="s">
        <v>86</v>
      </c>
      <c r="C56" s="571"/>
      <c r="D56" s="571"/>
      <c r="E56" s="571"/>
      <c r="F56" s="571"/>
      <c r="G56" s="571"/>
      <c r="H56" s="69">
        <f>AVERAGE(N57:N60)</f>
        <v>1</v>
      </c>
      <c r="I56" s="69">
        <f>AVERAGE(O57:O60)</f>
        <v>1</v>
      </c>
      <c r="J56" s="70"/>
      <c r="K56" s="70"/>
      <c r="L56" s="71"/>
      <c r="M56" s="64"/>
      <c r="N56" s="41"/>
      <c r="O56" s="41"/>
      <c r="P56" s="49"/>
      <c r="Q56" s="49"/>
      <c r="R56" s="104">
        <f>COUNTA(C57:C60)</f>
        <v>4</v>
      </c>
      <c r="S56" s="103">
        <v>0</v>
      </c>
      <c r="T56" s="104">
        <f>COUNTIFS(AC57:AC60,"&gt;1,50")</f>
        <v>0</v>
      </c>
      <c r="U56" s="104">
        <f>COUNTIFS(AC57:AC60,"&gt;=0,995",AC57:AC60,"&lt;=1,5")</f>
        <v>4</v>
      </c>
      <c r="V56" s="104">
        <f>COUNTIFS(AC57:AC60,"&gt;=0,85",AC57:AC60,"&lt;0,995")</f>
        <v>0</v>
      </c>
      <c r="W56" s="104">
        <f>COUNTIFS(AC57:AC60,"&lt;0,85")</f>
        <v>0</v>
      </c>
      <c r="X56" s="52"/>
      <c r="Z56" s="96">
        <f>COUNTIFS(AD57:AD60,"&gt;=1,01")</f>
        <v>0</v>
      </c>
      <c r="AA56" s="96">
        <f>COUNTIFS(AD57:AD60,"&gt;=0,99",AD57:AD60,"&lt;1,01")</f>
        <v>4</v>
      </c>
      <c r="AB56" s="97">
        <f>COUNTIFS(AD57:AD60,"&lt;0,99")</f>
        <v>0</v>
      </c>
      <c r="AC56" s="67"/>
      <c r="AD56" s="67"/>
      <c r="AK56" s="47">
        <f>SUM(T56:X56)-R56</f>
        <v>0</v>
      </c>
    </row>
    <row r="57" spans="1:37" ht="56.25" outlineLevel="2" x14ac:dyDescent="0.25">
      <c r="A57" s="262" t="s">
        <v>87</v>
      </c>
      <c r="B57" s="155" t="s">
        <v>721</v>
      </c>
      <c r="C57" s="269" t="s">
        <v>343</v>
      </c>
      <c r="D57" s="208" t="s">
        <v>319</v>
      </c>
      <c r="E57" s="256">
        <v>6300</v>
      </c>
      <c r="F57" s="256">
        <v>6300</v>
      </c>
      <c r="G57" s="256">
        <v>6300</v>
      </c>
      <c r="H57" s="261">
        <f>G57/F57</f>
        <v>1</v>
      </c>
      <c r="I57" s="261">
        <f>G57/E57</f>
        <v>1</v>
      </c>
      <c r="J57" s="254" t="s">
        <v>41</v>
      </c>
      <c r="K57" s="254" t="s">
        <v>41</v>
      </c>
      <c r="L57" s="66" t="s">
        <v>53</v>
      </c>
      <c r="M57" s="40">
        <v>1</v>
      </c>
      <c r="N57" s="41">
        <f t="shared" si="29"/>
        <v>1</v>
      </c>
      <c r="O57" s="41">
        <f t="shared" si="30"/>
        <v>1</v>
      </c>
      <c r="AC57" s="67">
        <f t="shared" si="9"/>
        <v>1</v>
      </c>
      <c r="AD57" s="67">
        <f t="shared" si="9"/>
        <v>1</v>
      </c>
    </row>
    <row r="58" spans="1:37" ht="82.5" customHeight="1" outlineLevel="2" x14ac:dyDescent="0.25">
      <c r="A58" s="262" t="s">
        <v>352</v>
      </c>
      <c r="B58" s="155" t="s">
        <v>722</v>
      </c>
      <c r="C58" s="269" t="s">
        <v>321</v>
      </c>
      <c r="D58" s="208" t="s">
        <v>319</v>
      </c>
      <c r="E58" s="256">
        <v>100</v>
      </c>
      <c r="F58" s="256">
        <v>100</v>
      </c>
      <c r="G58" s="256">
        <v>100</v>
      </c>
      <c r="H58" s="261">
        <f t="shared" ref="H58:H60" si="32">G58/F58</f>
        <v>1</v>
      </c>
      <c r="I58" s="261">
        <f t="shared" ref="I58:I59" si="33">G58/E58</f>
        <v>1</v>
      </c>
      <c r="J58" s="254" t="s">
        <v>41</v>
      </c>
      <c r="K58" s="254" t="s">
        <v>41</v>
      </c>
      <c r="L58" s="66" t="s">
        <v>53</v>
      </c>
      <c r="M58" s="40">
        <v>1</v>
      </c>
      <c r="N58" s="41">
        <f t="shared" si="29"/>
        <v>1</v>
      </c>
      <c r="O58" s="41">
        <f t="shared" si="30"/>
        <v>1</v>
      </c>
      <c r="AC58" s="67">
        <f t="shared" si="9"/>
        <v>1</v>
      </c>
      <c r="AD58" s="67">
        <f t="shared" si="9"/>
        <v>1</v>
      </c>
    </row>
    <row r="59" spans="1:37" ht="90" outlineLevel="2" x14ac:dyDescent="0.25">
      <c r="A59" s="262" t="s">
        <v>353</v>
      </c>
      <c r="B59" s="155" t="s">
        <v>723</v>
      </c>
      <c r="C59" s="269" t="s">
        <v>321</v>
      </c>
      <c r="D59" s="208" t="s">
        <v>319</v>
      </c>
      <c r="E59" s="256">
        <v>100</v>
      </c>
      <c r="F59" s="256">
        <v>100</v>
      </c>
      <c r="G59" s="256">
        <v>100</v>
      </c>
      <c r="H59" s="261">
        <f t="shared" si="32"/>
        <v>1</v>
      </c>
      <c r="I59" s="261">
        <f t="shared" si="33"/>
        <v>1</v>
      </c>
      <c r="J59" s="254" t="s">
        <v>41</v>
      </c>
      <c r="K59" s="254" t="s">
        <v>41</v>
      </c>
      <c r="L59" s="66" t="s">
        <v>53</v>
      </c>
      <c r="M59" s="40">
        <v>1</v>
      </c>
      <c r="N59" s="41">
        <f t="shared" si="29"/>
        <v>1</v>
      </c>
      <c r="O59" s="41">
        <f>IF(I59&gt;1.25,1.25,I59)</f>
        <v>1</v>
      </c>
      <c r="AC59" s="67">
        <f t="shared" si="9"/>
        <v>1</v>
      </c>
      <c r="AD59" s="67">
        <f t="shared" si="9"/>
        <v>1</v>
      </c>
    </row>
    <row r="60" spans="1:37" ht="101.25" outlineLevel="2" x14ac:dyDescent="0.25">
      <c r="A60" s="262" t="s">
        <v>354</v>
      </c>
      <c r="B60" s="155" t="s">
        <v>724</v>
      </c>
      <c r="C60" s="269" t="s">
        <v>321</v>
      </c>
      <c r="D60" s="208" t="s">
        <v>319</v>
      </c>
      <c r="E60" s="256">
        <v>100</v>
      </c>
      <c r="F60" s="256">
        <v>100</v>
      </c>
      <c r="G60" s="256">
        <v>100</v>
      </c>
      <c r="H60" s="261">
        <f t="shared" si="32"/>
        <v>1</v>
      </c>
      <c r="I60" s="261">
        <f>G60/E60</f>
        <v>1</v>
      </c>
      <c r="J60" s="254" t="s">
        <v>41</v>
      </c>
      <c r="K60" s="254" t="s">
        <v>41</v>
      </c>
      <c r="L60" s="66" t="s">
        <v>53</v>
      </c>
      <c r="M60" s="40">
        <v>1</v>
      </c>
      <c r="N60" s="41">
        <f t="shared" si="29"/>
        <v>1</v>
      </c>
      <c r="O60" s="41">
        <f>IF(I60&gt;1.25,1.25,I60)</f>
        <v>1</v>
      </c>
      <c r="AC60" s="67">
        <f t="shared" si="9"/>
        <v>1</v>
      </c>
      <c r="AD60" s="67">
        <f t="shared" si="9"/>
        <v>1</v>
      </c>
    </row>
    <row r="61" spans="1:37" s="47" customFormat="1" ht="29.25" customHeight="1" outlineLevel="1" x14ac:dyDescent="0.25">
      <c r="A61" s="91" t="s">
        <v>42</v>
      </c>
      <c r="B61" s="575" t="s">
        <v>725</v>
      </c>
      <c r="C61" s="576"/>
      <c r="D61" s="576"/>
      <c r="E61" s="576"/>
      <c r="F61" s="576"/>
      <c r="G61" s="576"/>
      <c r="H61" s="69">
        <f>AVERAGE(N62:N63)</f>
        <v>1</v>
      </c>
      <c r="I61" s="69">
        <f>AVERAGE(O62:O63)</f>
        <v>0.89726840855106893</v>
      </c>
      <c r="J61" s="70"/>
      <c r="K61" s="70"/>
      <c r="L61" s="71"/>
      <c r="M61" s="64"/>
      <c r="N61" s="41"/>
      <c r="O61" s="51"/>
      <c r="P61" s="49"/>
      <c r="Q61" s="49"/>
      <c r="R61" s="104">
        <f>COUNTA(C62:C63)</f>
        <v>2</v>
      </c>
      <c r="S61" s="103">
        <v>0</v>
      </c>
      <c r="T61" s="104">
        <f>COUNTIFS(AC62:AC63,"&gt;1,50")</f>
        <v>1</v>
      </c>
      <c r="U61" s="104">
        <f>COUNTIFS(AC62:AC63,"&gt;=0,995",AC62:AC63,"&lt;=1,5")</f>
        <v>1</v>
      </c>
      <c r="V61" s="104">
        <f>COUNTIFS(AC62:AC63,"&gt;=0,85",AC62:AC63,"&lt;0,995")</f>
        <v>0</v>
      </c>
      <c r="W61" s="104">
        <f>COUNTIFS(AC62:AC63,"&lt;0,85")</f>
        <v>0</v>
      </c>
      <c r="X61" s="52"/>
      <c r="Z61" s="96">
        <f>COUNTIFS(AD62:AD63,"&gt;=1,01")</f>
        <v>0</v>
      </c>
      <c r="AA61" s="96">
        <f>COUNTIFS(AD62:AD63,"&gt;=0,99",AD62:AD63,"&lt;1,01")</f>
        <v>1</v>
      </c>
      <c r="AB61" s="97">
        <f>COUNTIFS(AD62:AD63,"&lt;0,99")</f>
        <v>1</v>
      </c>
      <c r="AC61" s="67"/>
      <c r="AD61" s="67"/>
    </row>
    <row r="62" spans="1:37" ht="45" outlineLevel="2" x14ac:dyDescent="0.25">
      <c r="A62" s="262" t="s">
        <v>652</v>
      </c>
      <c r="B62" s="153" t="s">
        <v>355</v>
      </c>
      <c r="C62" s="148" t="s">
        <v>356</v>
      </c>
      <c r="D62" s="208" t="s">
        <v>319</v>
      </c>
      <c r="E62" s="271">
        <v>84.2</v>
      </c>
      <c r="F62" s="270">
        <v>14.3</v>
      </c>
      <c r="G62" s="270">
        <v>66.900000000000006</v>
      </c>
      <c r="H62" s="261">
        <f>G62/F62</f>
        <v>4.6783216783216783</v>
      </c>
      <c r="I62" s="261">
        <f>G62/E62</f>
        <v>0.79453681710213786</v>
      </c>
      <c r="J62" s="254" t="s">
        <v>1194</v>
      </c>
      <c r="K62" s="254"/>
      <c r="L62" s="66" t="s">
        <v>53</v>
      </c>
      <c r="M62" s="40">
        <v>1</v>
      </c>
      <c r="N62" s="41">
        <f t="shared" si="29"/>
        <v>1</v>
      </c>
      <c r="O62" s="41">
        <f>IF(I62&gt;1.25,1.25,I62)</f>
        <v>0.79453681710213786</v>
      </c>
      <c r="AC62" s="67">
        <f t="shared" si="9"/>
        <v>4.6783216783216783</v>
      </c>
      <c r="AD62" s="67">
        <f t="shared" si="9"/>
        <v>0.79453681710213786</v>
      </c>
    </row>
    <row r="63" spans="1:37" ht="97.5" customHeight="1" outlineLevel="2" x14ac:dyDescent="0.25">
      <c r="A63" s="262" t="s">
        <v>726</v>
      </c>
      <c r="B63" s="250" t="s">
        <v>727</v>
      </c>
      <c r="C63" s="148" t="s">
        <v>321</v>
      </c>
      <c r="D63" s="208" t="s">
        <v>319</v>
      </c>
      <c r="E63" s="271">
        <v>96</v>
      </c>
      <c r="F63" s="270">
        <v>75</v>
      </c>
      <c r="G63" s="271">
        <v>96</v>
      </c>
      <c r="H63" s="261">
        <f>G63/F63</f>
        <v>1.28</v>
      </c>
      <c r="I63" s="261">
        <f>G63/E63</f>
        <v>1</v>
      </c>
      <c r="J63" s="254" t="s">
        <v>1672</v>
      </c>
      <c r="K63" s="254" t="s">
        <v>41</v>
      </c>
      <c r="L63" s="66" t="s">
        <v>53</v>
      </c>
      <c r="M63" s="40">
        <v>1</v>
      </c>
      <c r="N63" s="41">
        <f t="shared" si="29"/>
        <v>1</v>
      </c>
      <c r="O63" s="41">
        <f>IF(I63&gt;1.25,1.25,I63)</f>
        <v>1</v>
      </c>
      <c r="AC63" s="67">
        <f t="shared" si="9"/>
        <v>1.28</v>
      </c>
      <c r="AD63" s="67">
        <f t="shared" si="9"/>
        <v>1</v>
      </c>
    </row>
    <row r="64" spans="1:37" s="47" customFormat="1" ht="19.5" customHeight="1" x14ac:dyDescent="0.25">
      <c r="A64" s="493">
        <v>2</v>
      </c>
      <c r="B64" s="577" t="s">
        <v>728</v>
      </c>
      <c r="C64" s="577"/>
      <c r="D64" s="577"/>
      <c r="E64" s="577"/>
      <c r="F64" s="577"/>
      <c r="G64" s="577"/>
      <c r="H64" s="494">
        <f>AVERAGE(N65:N106)</f>
        <v>0.99755869801690233</v>
      </c>
      <c r="I64" s="494">
        <f>AVERAGE(O65:O106)</f>
        <v>1.0882975118760061</v>
      </c>
      <c r="J64" s="495"/>
      <c r="K64" s="495"/>
      <c r="L64" s="496"/>
      <c r="M64" s="63"/>
      <c r="N64" s="41"/>
      <c r="O64" s="41"/>
      <c r="P64" s="95"/>
      <c r="Q64" s="95"/>
      <c r="R64" s="110">
        <f>COUNTA(C65:C106)</f>
        <v>38</v>
      </c>
      <c r="S64" s="102">
        <f>R64-T64-U64-V64-W64</f>
        <v>1</v>
      </c>
      <c r="T64" s="110">
        <f>COUNTIFS(AC65:AC106,"&gt;1,50")</f>
        <v>7</v>
      </c>
      <c r="U64" s="110">
        <f>COUNTIFS(AC65:AC106,"&gt;=0,995",AC65:AC106,"&lt;=1,5")</f>
        <v>28</v>
      </c>
      <c r="V64" s="110">
        <f>COUNTIFS(AC65:AC106,"&gt;=0,85",AC65:AC106,"&lt;0,995")</f>
        <v>2</v>
      </c>
      <c r="W64" s="110">
        <f>COUNTIFS(AC65:AC106,"&lt;0,85")</f>
        <v>0</v>
      </c>
      <c r="X64" s="95"/>
      <c r="Y64" s="94"/>
      <c r="Z64" s="100">
        <f>COUNTIFS(AD65:AD106,"&gt;=1,01")</f>
        <v>15</v>
      </c>
      <c r="AA64" s="100">
        <f>COUNTIFS(AD65:AD106,"&gt;=0,99",AD65:AD106,"&lt;1,01")</f>
        <v>4</v>
      </c>
      <c r="AB64" s="101">
        <f>COUNTIFS(AD65:AD106,"&lt;0,99")</f>
        <v>4</v>
      </c>
      <c r="AC64" s="67"/>
      <c r="AD64" s="67"/>
      <c r="AK64" s="47">
        <f>SUM(T64:X64)-R64</f>
        <v>-1</v>
      </c>
    </row>
    <row r="65" spans="1:37" ht="33.75" outlineLevel="2" x14ac:dyDescent="0.25">
      <c r="A65" s="262" t="s">
        <v>357</v>
      </c>
      <c r="B65" s="456" t="s">
        <v>1673</v>
      </c>
      <c r="C65" s="137" t="s">
        <v>321</v>
      </c>
      <c r="D65" s="272" t="s">
        <v>319</v>
      </c>
      <c r="E65" s="455">
        <v>100</v>
      </c>
      <c r="F65" s="455">
        <v>100</v>
      </c>
      <c r="G65" s="455">
        <v>100</v>
      </c>
      <c r="H65" s="273">
        <f>G65/F65</f>
        <v>1</v>
      </c>
      <c r="I65" s="273">
        <f>G65/E65</f>
        <v>1</v>
      </c>
      <c r="J65" s="275" t="s">
        <v>41</v>
      </c>
      <c r="K65" s="275" t="s">
        <v>41</v>
      </c>
      <c r="L65" s="74" t="s">
        <v>63</v>
      </c>
      <c r="M65" s="40">
        <v>1</v>
      </c>
      <c r="N65" s="41">
        <f t="shared" si="29"/>
        <v>1</v>
      </c>
      <c r="O65" s="41">
        <f t="shared" ref="O65:O79" si="34">IF(I65&gt;1.25,1.25,I65)</f>
        <v>1</v>
      </c>
      <c r="AC65" s="67">
        <f t="shared" si="9"/>
        <v>1</v>
      </c>
      <c r="AD65" s="67">
        <f t="shared" si="9"/>
        <v>1</v>
      </c>
    </row>
    <row r="66" spans="1:37" ht="146.25" outlineLevel="2" x14ac:dyDescent="0.25">
      <c r="A66" s="262" t="s">
        <v>358</v>
      </c>
      <c r="B66" s="456" t="s">
        <v>1674</v>
      </c>
      <c r="C66" s="137" t="s">
        <v>321</v>
      </c>
      <c r="D66" s="251" t="s">
        <v>302</v>
      </c>
      <c r="E66" s="455">
        <v>0.23</v>
      </c>
      <c r="F66" s="455">
        <v>1.8</v>
      </c>
      <c r="G66" s="455">
        <v>0.25</v>
      </c>
      <c r="H66" s="273">
        <f>F66/G66</f>
        <v>7.2</v>
      </c>
      <c r="I66" s="273">
        <f>E66/G66</f>
        <v>0.92</v>
      </c>
      <c r="J66" s="275" t="s">
        <v>1683</v>
      </c>
      <c r="K66" s="275" t="s">
        <v>41</v>
      </c>
      <c r="L66" s="74" t="s">
        <v>63</v>
      </c>
      <c r="M66" s="40">
        <v>-1</v>
      </c>
      <c r="N66" s="41">
        <f t="shared" si="29"/>
        <v>1</v>
      </c>
      <c r="O66" s="41">
        <f t="shared" si="34"/>
        <v>0.92</v>
      </c>
      <c r="AC66" s="67">
        <f t="shared" si="9"/>
        <v>7.2</v>
      </c>
      <c r="AD66" s="67">
        <f t="shared" si="9"/>
        <v>0.92</v>
      </c>
    </row>
    <row r="67" spans="1:37" ht="67.5" outlineLevel="2" x14ac:dyDescent="0.25">
      <c r="A67" s="262" t="s">
        <v>359</v>
      </c>
      <c r="B67" s="456" t="s">
        <v>1675</v>
      </c>
      <c r="C67" s="137" t="s">
        <v>321</v>
      </c>
      <c r="D67" s="272" t="s">
        <v>319</v>
      </c>
      <c r="E67" s="455">
        <v>86.4</v>
      </c>
      <c r="F67" s="455">
        <v>62.6</v>
      </c>
      <c r="G67" s="455">
        <v>86.5</v>
      </c>
      <c r="H67" s="273">
        <f t="shared" ref="H67:H72" si="35">G67/F67</f>
        <v>1.3817891373801916</v>
      </c>
      <c r="I67" s="273">
        <f t="shared" ref="I67:I72" si="36">G67/E67</f>
        <v>1.0011574074074074</v>
      </c>
      <c r="J67" s="275" t="s">
        <v>2059</v>
      </c>
      <c r="K67" s="275" t="s">
        <v>41</v>
      </c>
      <c r="L67" s="74" t="s">
        <v>63</v>
      </c>
      <c r="M67" s="40">
        <v>1</v>
      </c>
      <c r="N67" s="41">
        <f t="shared" si="29"/>
        <v>1</v>
      </c>
      <c r="O67" s="41">
        <f t="shared" si="34"/>
        <v>1.0011574074074074</v>
      </c>
      <c r="AC67" s="67">
        <f t="shared" si="9"/>
        <v>1.3817891373801916</v>
      </c>
      <c r="AD67" s="67">
        <f t="shared" si="9"/>
        <v>1.0011574074074074</v>
      </c>
    </row>
    <row r="68" spans="1:37" ht="33.75" outlineLevel="2" x14ac:dyDescent="0.25">
      <c r="A68" s="262" t="s">
        <v>729</v>
      </c>
      <c r="B68" s="456" t="s">
        <v>730</v>
      </c>
      <c r="C68" s="137" t="s">
        <v>321</v>
      </c>
      <c r="D68" s="272" t="s">
        <v>319</v>
      </c>
      <c r="E68" s="455">
        <v>76.400000000000006</v>
      </c>
      <c r="F68" s="455">
        <v>78.5</v>
      </c>
      <c r="G68" s="455">
        <v>79.8</v>
      </c>
      <c r="H68" s="273">
        <f t="shared" si="35"/>
        <v>1.0165605095541401</v>
      </c>
      <c r="I68" s="273">
        <f t="shared" si="36"/>
        <v>1.044502617801047</v>
      </c>
      <c r="J68" s="275" t="s">
        <v>1684</v>
      </c>
      <c r="K68" s="275" t="s">
        <v>41</v>
      </c>
      <c r="L68" s="74" t="s">
        <v>63</v>
      </c>
      <c r="M68" s="40">
        <v>1</v>
      </c>
      <c r="N68" s="41">
        <f t="shared" si="29"/>
        <v>1</v>
      </c>
      <c r="O68" s="41">
        <f t="shared" si="34"/>
        <v>1.044502617801047</v>
      </c>
      <c r="AC68" s="67">
        <f t="shared" si="9"/>
        <v>1.0165605095541401</v>
      </c>
      <c r="AD68" s="67">
        <f t="shared" si="9"/>
        <v>1.044502617801047</v>
      </c>
    </row>
    <row r="69" spans="1:37" ht="78.75" outlineLevel="2" x14ac:dyDescent="0.25">
      <c r="A69" s="262" t="s">
        <v>1679</v>
      </c>
      <c r="B69" s="456" t="s">
        <v>1676</v>
      </c>
      <c r="C69" s="137" t="s">
        <v>321</v>
      </c>
      <c r="D69" s="272" t="s">
        <v>319</v>
      </c>
      <c r="E69" s="455" t="s">
        <v>41</v>
      </c>
      <c r="F69" s="455">
        <v>53</v>
      </c>
      <c r="G69" s="455">
        <v>54.6</v>
      </c>
      <c r="H69" s="273">
        <f>G69/F69</f>
        <v>1.030188679245283</v>
      </c>
      <c r="I69" s="273" t="s">
        <v>41</v>
      </c>
      <c r="J69" s="275" t="s">
        <v>41</v>
      </c>
      <c r="K69" s="275" t="s">
        <v>41</v>
      </c>
      <c r="L69" s="74" t="s">
        <v>63</v>
      </c>
      <c r="M69" s="40">
        <v>1</v>
      </c>
      <c r="N69" s="41">
        <f t="shared" si="29"/>
        <v>1</v>
      </c>
      <c r="O69" s="41" t="s">
        <v>41</v>
      </c>
      <c r="AC69" s="67">
        <f t="shared" si="9"/>
        <v>1.030188679245283</v>
      </c>
      <c r="AD69" s="67" t="str">
        <f t="shared" si="9"/>
        <v>-</v>
      </c>
    </row>
    <row r="70" spans="1:37" ht="67.5" outlineLevel="2" x14ac:dyDescent="0.25">
      <c r="A70" s="262" t="s">
        <v>1680</v>
      </c>
      <c r="B70" s="456" t="s">
        <v>1677</v>
      </c>
      <c r="C70" s="455" t="s">
        <v>321</v>
      </c>
      <c r="D70" s="272" t="s">
        <v>319</v>
      </c>
      <c r="E70" s="455" t="s">
        <v>41</v>
      </c>
      <c r="F70" s="455">
        <v>100</v>
      </c>
      <c r="G70" s="455">
        <v>100</v>
      </c>
      <c r="H70" s="273">
        <f t="shared" ref="H70:H71" si="37">G70/F70</f>
        <v>1</v>
      </c>
      <c r="I70" s="273" t="s">
        <v>41</v>
      </c>
      <c r="J70" s="275" t="s">
        <v>41</v>
      </c>
      <c r="K70" s="275" t="s">
        <v>41</v>
      </c>
      <c r="L70" s="74" t="str">
        <f>L65</f>
        <v>Минобр МО</v>
      </c>
      <c r="M70" s="40">
        <v>1</v>
      </c>
      <c r="N70" s="41">
        <f t="shared" ref="N70:N71" si="38">IF(H70&gt;1,1,H70)</f>
        <v>1</v>
      </c>
      <c r="O70" s="41" t="s">
        <v>41</v>
      </c>
      <c r="AC70" s="67">
        <f t="shared" si="9"/>
        <v>1</v>
      </c>
      <c r="AD70" s="67" t="str">
        <f t="shared" si="9"/>
        <v>-</v>
      </c>
    </row>
    <row r="71" spans="1:37" ht="22.5" outlineLevel="2" x14ac:dyDescent="0.25">
      <c r="A71" s="262" t="s">
        <v>1681</v>
      </c>
      <c r="B71" s="456" t="s">
        <v>1678</v>
      </c>
      <c r="C71" s="455" t="s">
        <v>321</v>
      </c>
      <c r="D71" s="272" t="s">
        <v>319</v>
      </c>
      <c r="E71" s="455" t="s">
        <v>41</v>
      </c>
      <c r="F71" s="455">
        <v>100</v>
      </c>
      <c r="G71" s="455">
        <v>100</v>
      </c>
      <c r="H71" s="273">
        <f t="shared" si="37"/>
        <v>1</v>
      </c>
      <c r="I71" s="273" t="s">
        <v>41</v>
      </c>
      <c r="J71" s="275" t="s">
        <v>41</v>
      </c>
      <c r="K71" s="275" t="s">
        <v>41</v>
      </c>
      <c r="L71" s="74" t="str">
        <f>L66</f>
        <v>Минобр МО</v>
      </c>
      <c r="M71" s="40">
        <v>1</v>
      </c>
      <c r="N71" s="41">
        <f t="shared" si="38"/>
        <v>1</v>
      </c>
      <c r="O71" s="41" t="s">
        <v>41</v>
      </c>
      <c r="AC71" s="67">
        <f t="shared" si="9"/>
        <v>1</v>
      </c>
      <c r="AD71" s="67" t="str">
        <f t="shared" si="9"/>
        <v>-</v>
      </c>
    </row>
    <row r="72" spans="1:37" ht="101.25" outlineLevel="2" x14ac:dyDescent="0.25">
      <c r="A72" s="262" t="s">
        <v>1682</v>
      </c>
      <c r="B72" s="456" t="s">
        <v>746</v>
      </c>
      <c r="C72" s="137" t="s">
        <v>321</v>
      </c>
      <c r="D72" s="272" t="s">
        <v>319</v>
      </c>
      <c r="E72" s="455">
        <v>58.73</v>
      </c>
      <c r="F72" s="455">
        <v>47</v>
      </c>
      <c r="G72" s="455">
        <v>59.46</v>
      </c>
      <c r="H72" s="273">
        <f t="shared" si="35"/>
        <v>1.2651063829787235</v>
      </c>
      <c r="I72" s="273">
        <f t="shared" si="36"/>
        <v>1.0124297633236847</v>
      </c>
      <c r="J72" s="275" t="s">
        <v>1685</v>
      </c>
      <c r="K72" s="275" t="s">
        <v>41</v>
      </c>
      <c r="L72" s="74" t="str">
        <f>L67</f>
        <v>Минобр МО</v>
      </c>
      <c r="M72" s="40">
        <v>1</v>
      </c>
      <c r="N72" s="41">
        <f t="shared" si="29"/>
        <v>1</v>
      </c>
      <c r="O72" s="41">
        <f t="shared" si="34"/>
        <v>1.0124297633236847</v>
      </c>
      <c r="AC72" s="67">
        <f t="shared" si="9"/>
        <v>1.2651063829787235</v>
      </c>
      <c r="AD72" s="67">
        <f t="shared" si="9"/>
        <v>1.0124297633236847</v>
      </c>
    </row>
    <row r="73" spans="1:37" s="47" customFormat="1" outlineLevel="1" x14ac:dyDescent="0.25">
      <c r="A73" s="68" t="s">
        <v>88</v>
      </c>
      <c r="B73" s="571" t="s">
        <v>360</v>
      </c>
      <c r="C73" s="571"/>
      <c r="D73" s="571"/>
      <c r="E73" s="571"/>
      <c r="F73" s="571"/>
      <c r="G73" s="571"/>
      <c r="H73" s="69">
        <f>AVERAGE(N74:N82)</f>
        <v>1</v>
      </c>
      <c r="I73" s="69">
        <f>AVERAGE(O74:O82)</f>
        <v>1.1967286036036036</v>
      </c>
      <c r="J73" s="70"/>
      <c r="K73" s="70"/>
      <c r="L73" s="71"/>
      <c r="M73" s="64"/>
      <c r="N73" s="51"/>
      <c r="O73" s="41"/>
      <c r="P73" s="49"/>
      <c r="Q73" s="49"/>
      <c r="R73" s="104">
        <f>COUNTA(C74:C82)</f>
        <v>9</v>
      </c>
      <c r="S73" s="103">
        <v>0</v>
      </c>
      <c r="T73" s="104">
        <f>COUNTIFS(AC74:AC82,"&gt;1,50")</f>
        <v>5</v>
      </c>
      <c r="U73" s="104">
        <f>COUNTIFS(AC74:AC82,"&gt;=0,995",AC74:AC82,"&lt;=1,5")</f>
        <v>4</v>
      </c>
      <c r="V73" s="104">
        <f>COUNTIFS(AC74:AC82,"&gt;=0,85",AC74:AC82,"&lt;0,995")</f>
        <v>0</v>
      </c>
      <c r="W73" s="104">
        <f>COUNTIFS(AC74:AC82,"&lt;0,85")</f>
        <v>0</v>
      </c>
      <c r="X73" s="52"/>
      <c r="Z73" s="96">
        <f>COUNTIFS(AD74:AD82,"&gt;=1,01")</f>
        <v>5</v>
      </c>
      <c r="AA73" s="96">
        <f>COUNTIFS(AD74:AD82,"&gt;=0,99",AD74:AD82,"&lt;1,01")</f>
        <v>0</v>
      </c>
      <c r="AB73" s="97">
        <f>COUNTIFS(AD74:AD82,"&lt;0,99")</f>
        <v>0</v>
      </c>
      <c r="AC73" s="67"/>
      <c r="AD73" s="67"/>
      <c r="AK73" s="47">
        <f>SUM(T73:X73)-R73</f>
        <v>0</v>
      </c>
    </row>
    <row r="74" spans="1:37" ht="78.75" outlineLevel="2" x14ac:dyDescent="0.25">
      <c r="A74" s="262" t="s">
        <v>89</v>
      </c>
      <c r="B74" s="464" t="s">
        <v>731</v>
      </c>
      <c r="C74" s="137" t="s">
        <v>327</v>
      </c>
      <c r="D74" s="272" t="s">
        <v>319</v>
      </c>
      <c r="E74" s="455">
        <v>16</v>
      </c>
      <c r="F74" s="455">
        <v>14.8</v>
      </c>
      <c r="G74" s="455">
        <v>19.45</v>
      </c>
      <c r="H74" s="273">
        <f t="shared" ref="H74:H82" si="39">G74/F74</f>
        <v>1.314189189189189</v>
      </c>
      <c r="I74" s="273">
        <f t="shared" ref="I74:I80" si="40">G74/E74</f>
        <v>1.215625</v>
      </c>
      <c r="J74" s="274" t="s">
        <v>1688</v>
      </c>
      <c r="K74" s="274" t="s">
        <v>41</v>
      </c>
      <c r="L74" s="74" t="s">
        <v>63</v>
      </c>
      <c r="M74" s="40">
        <v>1</v>
      </c>
      <c r="N74" s="41">
        <f>IF(H74&gt;1,1,H74)</f>
        <v>1</v>
      </c>
      <c r="O74" s="41">
        <f t="shared" si="34"/>
        <v>1.215625</v>
      </c>
      <c r="AC74" s="67">
        <f t="shared" ref="AC74:AD143" si="41">H74</f>
        <v>1.314189189189189</v>
      </c>
      <c r="AD74" s="67">
        <f t="shared" si="41"/>
        <v>1.215625</v>
      </c>
    </row>
    <row r="75" spans="1:37" ht="78.75" outlineLevel="2" x14ac:dyDescent="0.25">
      <c r="A75" s="262" t="s">
        <v>90</v>
      </c>
      <c r="B75" s="250" t="s">
        <v>732</v>
      </c>
      <c r="C75" s="137" t="s">
        <v>321</v>
      </c>
      <c r="D75" s="265" t="s">
        <v>339</v>
      </c>
      <c r="E75" s="455">
        <v>101.5</v>
      </c>
      <c r="F75" s="455">
        <v>100</v>
      </c>
      <c r="G75" s="455">
        <v>100.5</v>
      </c>
      <c r="H75" s="273">
        <f t="shared" si="39"/>
        <v>1.0049999999999999</v>
      </c>
      <c r="I75" s="273">
        <f t="shared" si="40"/>
        <v>0.99014778325123154</v>
      </c>
      <c r="J75" s="274" t="s">
        <v>2087</v>
      </c>
      <c r="K75" s="274" t="s">
        <v>41</v>
      </c>
      <c r="L75" s="74" t="s">
        <v>63</v>
      </c>
      <c r="M75" s="40">
        <v>0</v>
      </c>
      <c r="N75" s="41">
        <f t="shared" ref="N75:N143" si="42">IF(H75&gt;1,1,H75)</f>
        <v>1</v>
      </c>
      <c r="O75" s="41" t="s">
        <v>41</v>
      </c>
      <c r="AC75" s="67">
        <f t="shared" si="41"/>
        <v>1.0049999999999999</v>
      </c>
      <c r="AD75" s="67" t="s">
        <v>41</v>
      </c>
    </row>
    <row r="76" spans="1:37" ht="45" outlineLevel="2" x14ac:dyDescent="0.25">
      <c r="A76" s="262" t="s">
        <v>91</v>
      </c>
      <c r="B76" s="250" t="s">
        <v>361</v>
      </c>
      <c r="C76" s="137" t="s">
        <v>321</v>
      </c>
      <c r="D76" s="208" t="s">
        <v>319</v>
      </c>
      <c r="E76" s="455">
        <v>111</v>
      </c>
      <c r="F76" s="455">
        <v>113</v>
      </c>
      <c r="G76" s="455">
        <v>113</v>
      </c>
      <c r="H76" s="273">
        <f t="shared" si="39"/>
        <v>1</v>
      </c>
      <c r="I76" s="273">
        <f t="shared" si="40"/>
        <v>1.0180180180180181</v>
      </c>
      <c r="J76" s="274" t="s">
        <v>41</v>
      </c>
      <c r="K76" s="274" t="s">
        <v>41</v>
      </c>
      <c r="L76" s="74" t="s">
        <v>63</v>
      </c>
      <c r="M76" s="40">
        <v>1</v>
      </c>
      <c r="N76" s="41">
        <f t="shared" si="42"/>
        <v>1</v>
      </c>
      <c r="O76" s="41">
        <f t="shared" si="34"/>
        <v>1.0180180180180181</v>
      </c>
      <c r="AC76" s="67">
        <f t="shared" si="41"/>
        <v>1</v>
      </c>
      <c r="AD76" s="67">
        <f t="shared" si="41"/>
        <v>1.0180180180180181</v>
      </c>
    </row>
    <row r="77" spans="1:37" ht="55.5" customHeight="1" outlineLevel="2" x14ac:dyDescent="0.25">
      <c r="A77" s="262" t="s">
        <v>92</v>
      </c>
      <c r="B77" s="250" t="s">
        <v>362</v>
      </c>
      <c r="C77" s="137" t="s">
        <v>321</v>
      </c>
      <c r="D77" s="251" t="s">
        <v>302</v>
      </c>
      <c r="E77" s="455">
        <v>1.76</v>
      </c>
      <c r="F77" s="455">
        <v>7</v>
      </c>
      <c r="G77" s="455">
        <v>0.85</v>
      </c>
      <c r="H77" s="278">
        <f>F77/G77</f>
        <v>8.2352941176470598</v>
      </c>
      <c r="I77" s="273">
        <f>E77/G77</f>
        <v>2.0705882352941178</v>
      </c>
      <c r="J77" s="274" t="s">
        <v>1689</v>
      </c>
      <c r="K77" s="274" t="s">
        <v>41</v>
      </c>
      <c r="L77" s="74" t="s">
        <v>63</v>
      </c>
      <c r="M77" s="40">
        <v>-1</v>
      </c>
      <c r="N77" s="41">
        <f t="shared" si="42"/>
        <v>1</v>
      </c>
      <c r="O77" s="41">
        <f t="shared" si="34"/>
        <v>1.25</v>
      </c>
      <c r="AC77" s="67">
        <f t="shared" si="41"/>
        <v>8.2352941176470598</v>
      </c>
      <c r="AD77" s="67">
        <f t="shared" si="41"/>
        <v>2.0705882352941178</v>
      </c>
    </row>
    <row r="78" spans="1:37" ht="45" outlineLevel="2" x14ac:dyDescent="0.25">
      <c r="A78" s="262" t="s">
        <v>93</v>
      </c>
      <c r="B78" s="250" t="s">
        <v>733</v>
      </c>
      <c r="C78" s="137" t="s">
        <v>409</v>
      </c>
      <c r="D78" s="208" t="s">
        <v>319</v>
      </c>
      <c r="E78" s="455">
        <v>30</v>
      </c>
      <c r="F78" s="455">
        <v>37</v>
      </c>
      <c r="G78" s="455">
        <v>67</v>
      </c>
      <c r="H78" s="273">
        <f t="shared" si="39"/>
        <v>1.8108108108108107</v>
      </c>
      <c r="I78" s="273">
        <f t="shared" si="40"/>
        <v>2.2333333333333334</v>
      </c>
      <c r="J78" s="274" t="s">
        <v>1690</v>
      </c>
      <c r="K78" s="274" t="s">
        <v>41</v>
      </c>
      <c r="L78" s="74" t="s">
        <v>63</v>
      </c>
      <c r="M78" s="40">
        <v>1</v>
      </c>
      <c r="N78" s="41">
        <f t="shared" si="42"/>
        <v>1</v>
      </c>
      <c r="O78" s="41">
        <f t="shared" si="34"/>
        <v>1.25</v>
      </c>
      <c r="AC78" s="67">
        <f t="shared" si="41"/>
        <v>1.8108108108108107</v>
      </c>
      <c r="AD78" s="67">
        <f t="shared" si="41"/>
        <v>2.2333333333333334</v>
      </c>
    </row>
    <row r="79" spans="1:37" ht="33.75" outlineLevel="2" x14ac:dyDescent="0.25">
      <c r="A79" s="262" t="s">
        <v>1197</v>
      </c>
      <c r="B79" s="250" t="s">
        <v>1198</v>
      </c>
      <c r="C79" s="137" t="s">
        <v>327</v>
      </c>
      <c r="D79" s="208" t="s">
        <v>319</v>
      </c>
      <c r="E79" s="455">
        <v>5625</v>
      </c>
      <c r="F79" s="455">
        <v>8000</v>
      </c>
      <c r="G79" s="455">
        <v>22943</v>
      </c>
      <c r="H79" s="273">
        <f t="shared" si="39"/>
        <v>2.8678750000000002</v>
      </c>
      <c r="I79" s="273">
        <f t="shared" si="40"/>
        <v>4.0787555555555555</v>
      </c>
      <c r="J79" s="274" t="s">
        <v>1691</v>
      </c>
      <c r="K79" s="274" t="s">
        <v>41</v>
      </c>
      <c r="L79" s="74" t="s">
        <v>63</v>
      </c>
      <c r="M79" s="40">
        <v>1</v>
      </c>
      <c r="N79" s="41">
        <f t="shared" si="42"/>
        <v>1</v>
      </c>
      <c r="O79" s="41">
        <f t="shared" si="34"/>
        <v>1.25</v>
      </c>
      <c r="AC79" s="67">
        <f t="shared" si="41"/>
        <v>2.8678750000000002</v>
      </c>
      <c r="AD79" s="67">
        <f t="shared" si="41"/>
        <v>4.0787555555555555</v>
      </c>
    </row>
    <row r="80" spans="1:37" ht="78.75" outlineLevel="2" x14ac:dyDescent="0.25">
      <c r="A80" s="262" t="s">
        <v>94</v>
      </c>
      <c r="B80" s="456" t="s">
        <v>734</v>
      </c>
      <c r="C80" s="137" t="s">
        <v>409</v>
      </c>
      <c r="D80" s="265" t="s">
        <v>339</v>
      </c>
      <c r="E80" s="455">
        <v>4</v>
      </c>
      <c r="F80" s="455">
        <v>3</v>
      </c>
      <c r="G80" s="455">
        <v>5</v>
      </c>
      <c r="H80" s="273">
        <f t="shared" si="39"/>
        <v>1.6666666666666667</v>
      </c>
      <c r="I80" s="273">
        <f t="shared" si="40"/>
        <v>1.25</v>
      </c>
      <c r="J80" s="274" t="s">
        <v>1692</v>
      </c>
      <c r="K80" s="274" t="s">
        <v>41</v>
      </c>
      <c r="L80" s="74" t="s">
        <v>63</v>
      </c>
      <c r="M80" s="40">
        <v>0</v>
      </c>
      <c r="N80" s="41">
        <f t="shared" si="42"/>
        <v>1</v>
      </c>
      <c r="O80" s="41" t="s">
        <v>41</v>
      </c>
      <c r="AC80" s="67">
        <f t="shared" si="41"/>
        <v>1.6666666666666667</v>
      </c>
      <c r="AD80" s="67" t="s">
        <v>41</v>
      </c>
    </row>
    <row r="81" spans="1:37" ht="90" outlineLevel="2" x14ac:dyDescent="0.25">
      <c r="A81" s="262" t="s">
        <v>95</v>
      </c>
      <c r="B81" s="456" t="s">
        <v>1695</v>
      </c>
      <c r="C81" s="455" t="s">
        <v>321</v>
      </c>
      <c r="D81" s="272" t="s">
        <v>319</v>
      </c>
      <c r="E81" s="455">
        <v>90</v>
      </c>
      <c r="F81" s="455">
        <v>91</v>
      </c>
      <c r="G81" s="455">
        <v>95</v>
      </c>
      <c r="H81" s="273">
        <f t="shared" ref="H81" si="43">G81/F81</f>
        <v>1.043956043956044</v>
      </c>
      <c r="I81" s="273">
        <f t="shared" ref="I81" si="44">G81/E81</f>
        <v>1.0555555555555556</v>
      </c>
      <c r="J81" s="274" t="s">
        <v>1693</v>
      </c>
      <c r="K81" s="274" t="s">
        <v>41</v>
      </c>
      <c r="L81" s="74" t="s">
        <v>63</v>
      </c>
      <c r="M81" s="40">
        <v>1</v>
      </c>
      <c r="N81" s="41">
        <f t="shared" ref="N81" si="45">IF(H81&gt;1,1,H81)</f>
        <v>1</v>
      </c>
      <c r="O81" s="41" t="s">
        <v>41</v>
      </c>
      <c r="AC81" s="67">
        <f t="shared" si="41"/>
        <v>1.043956043956044</v>
      </c>
      <c r="AD81" s="67" t="s">
        <v>41</v>
      </c>
    </row>
    <row r="82" spans="1:37" ht="56.25" outlineLevel="2" x14ac:dyDescent="0.25">
      <c r="A82" s="262" t="s">
        <v>1686</v>
      </c>
      <c r="B82" s="456" t="s">
        <v>1687</v>
      </c>
      <c r="C82" s="137" t="s">
        <v>321</v>
      </c>
      <c r="D82" s="272" t="s">
        <v>319</v>
      </c>
      <c r="E82" s="455" t="s">
        <v>41</v>
      </c>
      <c r="F82" s="455">
        <v>20</v>
      </c>
      <c r="G82" s="455">
        <v>52.5</v>
      </c>
      <c r="H82" s="273">
        <f t="shared" si="39"/>
        <v>2.625</v>
      </c>
      <c r="I82" s="273" t="s">
        <v>41</v>
      </c>
      <c r="J82" s="274" t="s">
        <v>1694</v>
      </c>
      <c r="K82" s="274" t="s">
        <v>41</v>
      </c>
      <c r="L82" s="74" t="s">
        <v>63</v>
      </c>
      <c r="M82" s="40">
        <v>1</v>
      </c>
      <c r="N82" s="41">
        <f t="shared" si="42"/>
        <v>1</v>
      </c>
      <c r="O82" s="41" t="s">
        <v>41</v>
      </c>
      <c r="AC82" s="67">
        <f t="shared" si="41"/>
        <v>2.625</v>
      </c>
      <c r="AD82" s="67" t="str">
        <f t="shared" si="41"/>
        <v>-</v>
      </c>
    </row>
    <row r="83" spans="1:37" s="47" customFormat="1" ht="11.25" customHeight="1" outlineLevel="1" x14ac:dyDescent="0.25">
      <c r="A83" s="68" t="s">
        <v>96</v>
      </c>
      <c r="B83" s="572" t="s">
        <v>735</v>
      </c>
      <c r="C83" s="573"/>
      <c r="D83" s="573"/>
      <c r="E83" s="573"/>
      <c r="F83" s="573"/>
      <c r="G83" s="574"/>
      <c r="H83" s="69">
        <f>AVERAGE(N84:N92)</f>
        <v>0.99866666666666659</v>
      </c>
      <c r="I83" s="69">
        <f>AVERAGE(O84:O92)</f>
        <v>1.1111395619503688</v>
      </c>
      <c r="J83" s="70"/>
      <c r="K83" s="70"/>
      <c r="L83" s="71"/>
      <c r="M83" s="64"/>
      <c r="N83" s="41"/>
      <c r="O83" s="41"/>
      <c r="P83" s="49"/>
      <c r="Q83" s="49"/>
      <c r="R83" s="104">
        <f>COUNTA(C84:C92)</f>
        <v>9</v>
      </c>
      <c r="S83" s="103">
        <v>0</v>
      </c>
      <c r="T83" s="104">
        <f>COUNTIFS(AC84:AC92,"&gt;1,50")</f>
        <v>0</v>
      </c>
      <c r="U83" s="104">
        <f>COUNTIFS(AC84:AC92,"&gt;=0,995",AC84:AC92,"&lt;=1,5")</f>
        <v>8</v>
      </c>
      <c r="V83" s="104">
        <f>COUNTIFS(AC84:AC92,"&gt;=0,85",AC84:AC92,"&lt;0,995")</f>
        <v>1</v>
      </c>
      <c r="W83" s="104">
        <f>COUNTIFS(AC84:AC92,"&lt;0,85")</f>
        <v>0</v>
      </c>
      <c r="X83" s="52"/>
      <c r="Z83" s="96">
        <f>COUNTIFS(AD84:AD92,"&gt;=1,01")</f>
        <v>4</v>
      </c>
      <c r="AA83" s="96">
        <f>COUNTIFS(AD84:AD92,"&gt;=0,99",AD84:AD92,"&lt;1,01")</f>
        <v>1</v>
      </c>
      <c r="AB83" s="97">
        <f>COUNTIFS(AD84:AD92,"&lt;0,99")</f>
        <v>1</v>
      </c>
      <c r="AC83" s="67"/>
      <c r="AD83" s="67"/>
      <c r="AK83" s="47">
        <f>SUM(T83:X83)-R83</f>
        <v>0</v>
      </c>
    </row>
    <row r="84" spans="1:37" ht="78.75" outlineLevel="2" x14ac:dyDescent="0.25">
      <c r="A84" s="262" t="s">
        <v>97</v>
      </c>
      <c r="B84" s="243" t="s">
        <v>736</v>
      </c>
      <c r="C84" s="167" t="s">
        <v>321</v>
      </c>
      <c r="D84" s="272" t="s">
        <v>319</v>
      </c>
      <c r="E84" s="455">
        <v>100.6</v>
      </c>
      <c r="F84" s="455">
        <v>100</v>
      </c>
      <c r="G84" s="455">
        <v>100.2</v>
      </c>
      <c r="H84" s="276">
        <f t="shared" ref="H84:H92" si="46">G84/F84</f>
        <v>1.002</v>
      </c>
      <c r="I84" s="276">
        <f t="shared" ref="I84:I92" si="47">G84/E84</f>
        <v>0.99602385685884698</v>
      </c>
      <c r="J84" s="274" t="s">
        <v>1195</v>
      </c>
      <c r="K84" s="274" t="s">
        <v>41</v>
      </c>
      <c r="L84" s="74" t="s">
        <v>63</v>
      </c>
      <c r="M84" s="40">
        <v>1</v>
      </c>
      <c r="N84" s="41">
        <f t="shared" si="42"/>
        <v>1</v>
      </c>
      <c r="O84" s="41">
        <f t="shared" ref="O84:O101" si="48">IF(I84&gt;1.25,1.25,I84)</f>
        <v>0.99602385685884698</v>
      </c>
      <c r="AC84" s="67">
        <f t="shared" si="41"/>
        <v>1.002</v>
      </c>
      <c r="AD84" s="67">
        <f t="shared" si="41"/>
        <v>0.99602385685884698</v>
      </c>
    </row>
    <row r="85" spans="1:37" ht="83.25" customHeight="1" outlineLevel="2" x14ac:dyDescent="0.25">
      <c r="A85" s="262" t="s">
        <v>98</v>
      </c>
      <c r="B85" s="250" t="s">
        <v>737</v>
      </c>
      <c r="C85" s="167" t="s">
        <v>321</v>
      </c>
      <c r="D85" s="272" t="s">
        <v>319</v>
      </c>
      <c r="E85" s="455">
        <v>35</v>
      </c>
      <c r="F85" s="455">
        <v>50</v>
      </c>
      <c r="G85" s="455">
        <v>50</v>
      </c>
      <c r="H85" s="276">
        <f t="shared" si="46"/>
        <v>1</v>
      </c>
      <c r="I85" s="276">
        <f t="shared" si="47"/>
        <v>1.4285714285714286</v>
      </c>
      <c r="J85" s="274" t="s">
        <v>41</v>
      </c>
      <c r="K85" s="274" t="s">
        <v>41</v>
      </c>
      <c r="L85" s="74" t="s">
        <v>63</v>
      </c>
      <c r="M85" s="40">
        <v>1</v>
      </c>
      <c r="N85" s="41">
        <f t="shared" si="42"/>
        <v>1</v>
      </c>
      <c r="O85" s="41">
        <f t="shared" si="48"/>
        <v>1.25</v>
      </c>
      <c r="AC85" s="67">
        <f t="shared" si="41"/>
        <v>1</v>
      </c>
      <c r="AD85" s="67">
        <f t="shared" si="41"/>
        <v>1.4285714285714286</v>
      </c>
    </row>
    <row r="86" spans="1:37" ht="33.75" outlineLevel="2" x14ac:dyDescent="0.25">
      <c r="A86" s="262" t="s">
        <v>363</v>
      </c>
      <c r="B86" s="250" t="s">
        <v>738</v>
      </c>
      <c r="C86" s="167" t="s">
        <v>321</v>
      </c>
      <c r="D86" s="272" t="s">
        <v>319</v>
      </c>
      <c r="E86" s="455">
        <v>25</v>
      </c>
      <c r="F86" s="455">
        <v>50</v>
      </c>
      <c r="G86" s="455">
        <v>50</v>
      </c>
      <c r="H86" s="276">
        <f t="shared" si="46"/>
        <v>1</v>
      </c>
      <c r="I86" s="276">
        <f t="shared" si="47"/>
        <v>2</v>
      </c>
      <c r="J86" s="274" t="s">
        <v>41</v>
      </c>
      <c r="K86" s="274" t="s">
        <v>41</v>
      </c>
      <c r="L86" s="74" t="s">
        <v>63</v>
      </c>
      <c r="M86" s="40">
        <v>1</v>
      </c>
      <c r="N86" s="41">
        <f t="shared" si="42"/>
        <v>1</v>
      </c>
      <c r="O86" s="41">
        <f t="shared" si="48"/>
        <v>1.25</v>
      </c>
      <c r="AC86" s="67">
        <f t="shared" si="41"/>
        <v>1</v>
      </c>
      <c r="AD86" s="67">
        <f t="shared" si="41"/>
        <v>2</v>
      </c>
    </row>
    <row r="87" spans="1:37" ht="56.25" outlineLevel="2" x14ac:dyDescent="0.25">
      <c r="A87" s="262" t="s">
        <v>99</v>
      </c>
      <c r="B87" s="250" t="s">
        <v>739</v>
      </c>
      <c r="C87" s="167" t="s">
        <v>321</v>
      </c>
      <c r="D87" s="272" t="s">
        <v>319</v>
      </c>
      <c r="E87" s="455">
        <v>70</v>
      </c>
      <c r="F87" s="455">
        <v>80</v>
      </c>
      <c r="G87" s="455">
        <v>80</v>
      </c>
      <c r="H87" s="276">
        <f t="shared" si="46"/>
        <v>1</v>
      </c>
      <c r="I87" s="276">
        <f t="shared" si="47"/>
        <v>1.1428571428571428</v>
      </c>
      <c r="J87" s="274" t="s">
        <v>41</v>
      </c>
      <c r="K87" s="274" t="s">
        <v>41</v>
      </c>
      <c r="L87" s="74" t="s">
        <v>63</v>
      </c>
      <c r="M87" s="40">
        <v>1</v>
      </c>
      <c r="N87" s="41">
        <f t="shared" si="42"/>
        <v>1</v>
      </c>
      <c r="O87" s="41">
        <f t="shared" si="48"/>
        <v>1.1428571428571428</v>
      </c>
      <c r="AC87" s="67">
        <f t="shared" si="41"/>
        <v>1</v>
      </c>
      <c r="AD87" s="67">
        <f t="shared" si="41"/>
        <v>1.1428571428571428</v>
      </c>
    </row>
    <row r="88" spans="1:37" ht="78.75" outlineLevel="2" x14ac:dyDescent="0.25">
      <c r="A88" s="262" t="s">
        <v>100</v>
      </c>
      <c r="B88" s="250" t="s">
        <v>740</v>
      </c>
      <c r="C88" s="167" t="s">
        <v>321</v>
      </c>
      <c r="D88" s="272" t="s">
        <v>319</v>
      </c>
      <c r="E88" s="455">
        <v>100.5</v>
      </c>
      <c r="F88" s="455">
        <v>100</v>
      </c>
      <c r="G88" s="455">
        <v>98.8</v>
      </c>
      <c r="H88" s="276">
        <f t="shared" si="46"/>
        <v>0.98799999999999999</v>
      </c>
      <c r="I88" s="276">
        <f t="shared" si="47"/>
        <v>0.98308457711442787</v>
      </c>
      <c r="J88" s="274" t="s">
        <v>1703</v>
      </c>
      <c r="K88" s="274" t="s">
        <v>1704</v>
      </c>
      <c r="L88" s="74" t="s">
        <v>63</v>
      </c>
      <c r="M88" s="40">
        <v>1</v>
      </c>
      <c r="N88" s="41">
        <f t="shared" si="42"/>
        <v>0.98799999999999999</v>
      </c>
      <c r="O88" s="41">
        <f t="shared" si="48"/>
        <v>0.98308457711442787</v>
      </c>
      <c r="AC88" s="67">
        <f t="shared" si="41"/>
        <v>0.98799999999999999</v>
      </c>
      <c r="AD88" s="67">
        <f t="shared" si="41"/>
        <v>0.98308457711442787</v>
      </c>
    </row>
    <row r="89" spans="1:37" ht="101.25" outlineLevel="2" x14ac:dyDescent="0.25">
      <c r="A89" s="262" t="s">
        <v>364</v>
      </c>
      <c r="B89" s="456" t="s">
        <v>741</v>
      </c>
      <c r="C89" s="167" t="s">
        <v>321</v>
      </c>
      <c r="D89" s="272" t="s">
        <v>319</v>
      </c>
      <c r="E89" s="455">
        <v>78</v>
      </c>
      <c r="F89" s="455">
        <v>81.3</v>
      </c>
      <c r="G89" s="455">
        <v>81.5</v>
      </c>
      <c r="H89" s="276">
        <f t="shared" ref="H89:H91" si="49">G89/F89</f>
        <v>1.002460024600246</v>
      </c>
      <c r="I89" s="276">
        <f t="shared" ref="I89" si="50">G89/E89</f>
        <v>1.0448717948717949</v>
      </c>
      <c r="J89" s="274" t="s">
        <v>1705</v>
      </c>
      <c r="K89" s="274" t="s">
        <v>41</v>
      </c>
      <c r="L89" s="74" t="s">
        <v>63</v>
      </c>
      <c r="M89" s="40">
        <v>1</v>
      </c>
      <c r="N89" s="41">
        <f t="shared" ref="N89:N91" si="51">IF(H89&gt;1,1,H89)</f>
        <v>1</v>
      </c>
      <c r="O89" s="41">
        <f t="shared" ref="O89" si="52">IF(I89&gt;1.25,1.25,I89)</f>
        <v>1.0448717948717949</v>
      </c>
      <c r="AC89" s="67">
        <f t="shared" si="41"/>
        <v>1.002460024600246</v>
      </c>
      <c r="AD89" s="67">
        <f t="shared" si="41"/>
        <v>1.0448717948717949</v>
      </c>
    </row>
    <row r="90" spans="1:37" ht="45" outlineLevel="2" x14ac:dyDescent="0.25">
      <c r="A90" s="262" t="s">
        <v>1697</v>
      </c>
      <c r="B90" s="456" t="s">
        <v>1700</v>
      </c>
      <c r="C90" s="167" t="s">
        <v>321</v>
      </c>
      <c r="D90" s="272" t="s">
        <v>319</v>
      </c>
      <c r="E90" s="455" t="s">
        <v>179</v>
      </c>
      <c r="F90" s="455">
        <v>94.41</v>
      </c>
      <c r="G90" s="455">
        <v>94.41</v>
      </c>
      <c r="H90" s="276">
        <f t="shared" si="49"/>
        <v>1</v>
      </c>
      <c r="I90" s="276" t="s">
        <v>41</v>
      </c>
      <c r="J90" s="274" t="s">
        <v>41</v>
      </c>
      <c r="K90" s="274" t="s">
        <v>41</v>
      </c>
      <c r="L90" s="74" t="s">
        <v>63</v>
      </c>
      <c r="M90" s="40">
        <v>1</v>
      </c>
      <c r="N90" s="41">
        <f t="shared" si="51"/>
        <v>1</v>
      </c>
      <c r="O90" s="41" t="s">
        <v>41</v>
      </c>
      <c r="AC90" s="67">
        <f t="shared" si="41"/>
        <v>1</v>
      </c>
      <c r="AD90" s="67" t="str">
        <f t="shared" si="41"/>
        <v>-</v>
      </c>
    </row>
    <row r="91" spans="1:37" ht="78.75" outlineLevel="2" x14ac:dyDescent="0.25">
      <c r="A91" s="262" t="s">
        <v>1698</v>
      </c>
      <c r="B91" s="456" t="s">
        <v>1701</v>
      </c>
      <c r="C91" s="167" t="s">
        <v>321</v>
      </c>
      <c r="D91" s="272" t="s">
        <v>319</v>
      </c>
      <c r="E91" s="455" t="s">
        <v>179</v>
      </c>
      <c r="F91" s="455">
        <v>9</v>
      </c>
      <c r="G91" s="455">
        <v>9</v>
      </c>
      <c r="H91" s="276">
        <f t="shared" si="49"/>
        <v>1</v>
      </c>
      <c r="I91" s="276" t="s">
        <v>41</v>
      </c>
      <c r="J91" s="274" t="s">
        <v>41</v>
      </c>
      <c r="K91" s="274" t="s">
        <v>41</v>
      </c>
      <c r="L91" s="74" t="s">
        <v>63</v>
      </c>
      <c r="M91" s="40">
        <v>1</v>
      </c>
      <c r="N91" s="41">
        <f t="shared" si="51"/>
        <v>1</v>
      </c>
      <c r="O91" s="41" t="s">
        <v>41</v>
      </c>
      <c r="AC91" s="67">
        <f t="shared" si="41"/>
        <v>1</v>
      </c>
      <c r="AD91" s="67" t="str">
        <f t="shared" si="41"/>
        <v>-</v>
      </c>
    </row>
    <row r="92" spans="1:37" ht="56.25" outlineLevel="2" x14ac:dyDescent="0.25">
      <c r="A92" s="262" t="s">
        <v>1699</v>
      </c>
      <c r="B92" s="456" t="s">
        <v>1702</v>
      </c>
      <c r="C92" s="167" t="s">
        <v>321</v>
      </c>
      <c r="D92" s="272" t="s">
        <v>319</v>
      </c>
      <c r="E92" s="455">
        <v>16</v>
      </c>
      <c r="F92" s="455">
        <v>20</v>
      </c>
      <c r="G92" s="455">
        <v>20</v>
      </c>
      <c r="H92" s="276">
        <f t="shared" si="46"/>
        <v>1</v>
      </c>
      <c r="I92" s="276">
        <f t="shared" si="47"/>
        <v>1.25</v>
      </c>
      <c r="J92" s="274" t="s">
        <v>41</v>
      </c>
      <c r="K92" s="274" t="s">
        <v>41</v>
      </c>
      <c r="L92" s="74" t="s">
        <v>63</v>
      </c>
      <c r="M92" s="40">
        <v>1</v>
      </c>
      <c r="N92" s="41">
        <f t="shared" si="42"/>
        <v>1</v>
      </c>
      <c r="O92" s="41" t="s">
        <v>41</v>
      </c>
      <c r="AC92" s="67">
        <f t="shared" si="41"/>
        <v>1</v>
      </c>
      <c r="AD92" s="67" t="s">
        <v>41</v>
      </c>
    </row>
    <row r="93" spans="1:37" s="47" customFormat="1" outlineLevel="1" x14ac:dyDescent="0.25">
      <c r="A93" s="68" t="s">
        <v>101</v>
      </c>
      <c r="B93" s="572" t="s">
        <v>742</v>
      </c>
      <c r="C93" s="573"/>
      <c r="D93" s="573"/>
      <c r="E93" s="573"/>
      <c r="F93" s="573"/>
      <c r="G93" s="574"/>
      <c r="H93" s="69">
        <f>AVERAGE(N94:N102)</f>
        <v>0.99129686962504293</v>
      </c>
      <c r="I93" s="69">
        <f>AVERAGE(O94:O102)</f>
        <v>1.0656876592307611</v>
      </c>
      <c r="J93" s="70"/>
      <c r="K93" s="70"/>
      <c r="L93" s="71"/>
      <c r="M93" s="64"/>
      <c r="N93" s="41"/>
      <c r="O93" s="41"/>
      <c r="P93" s="49"/>
      <c r="Q93" s="49"/>
      <c r="R93" s="104">
        <f>COUNTA(C94:C102)</f>
        <v>9</v>
      </c>
      <c r="S93" s="103">
        <v>0</v>
      </c>
      <c r="T93" s="104">
        <f>COUNTIFS(AC94:AC102,"&gt;1,50")</f>
        <v>1</v>
      </c>
      <c r="U93" s="104">
        <f>COUNTIFS(AC94:AC102,"&gt;=0,995",AC94:AC102,"&lt;=1,5")</f>
        <v>7</v>
      </c>
      <c r="V93" s="104">
        <f>COUNTIFS(AC94:AC102,"&gt;=0,85",AC94:AC102,"&lt;0,995")</f>
        <v>1</v>
      </c>
      <c r="W93" s="104">
        <f>COUNTIFS(AC94:AC102,"&lt;0,85")</f>
        <v>0</v>
      </c>
      <c r="X93" s="52"/>
      <c r="Z93" s="96">
        <f>COUNTIFS(AD94:AD102,"&gt;=1,01")</f>
        <v>4</v>
      </c>
      <c r="AA93" s="96">
        <f>COUNTIFS(AD94:AD102,"&gt;=0,99",AD94:AD102,"&lt;1,01")</f>
        <v>0</v>
      </c>
      <c r="AB93" s="97">
        <f>COUNTIFS(AD94:AD102,"&lt;0,99")</f>
        <v>2</v>
      </c>
      <c r="AC93" s="67"/>
      <c r="AD93" s="67"/>
      <c r="AK93" s="47">
        <f>SUM(T93:X93)-R93</f>
        <v>0</v>
      </c>
    </row>
    <row r="94" spans="1:37" ht="102" customHeight="1" outlineLevel="2" x14ac:dyDescent="0.25">
      <c r="A94" s="262" t="s">
        <v>102</v>
      </c>
      <c r="B94" s="456" t="s">
        <v>743</v>
      </c>
      <c r="C94" s="167" t="s">
        <v>321</v>
      </c>
      <c r="D94" s="272" t="s">
        <v>319</v>
      </c>
      <c r="E94" s="455">
        <v>7.46</v>
      </c>
      <c r="F94" s="455">
        <v>6</v>
      </c>
      <c r="G94" s="455">
        <v>7.6</v>
      </c>
      <c r="H94" s="273">
        <f t="shared" ref="H94:H102" si="53">G94/F94</f>
        <v>1.2666666666666666</v>
      </c>
      <c r="I94" s="273">
        <f t="shared" ref="I94:I101" si="54">G94/E94</f>
        <v>1.0187667560321716</v>
      </c>
      <c r="J94" s="274" t="s">
        <v>1710</v>
      </c>
      <c r="K94" s="274" t="s">
        <v>41</v>
      </c>
      <c r="L94" s="74" t="s">
        <v>63</v>
      </c>
      <c r="M94" s="40">
        <v>1</v>
      </c>
      <c r="N94" s="41">
        <f t="shared" si="42"/>
        <v>1</v>
      </c>
      <c r="O94" s="41">
        <f t="shared" si="48"/>
        <v>1.0187667560321716</v>
      </c>
      <c r="AC94" s="67">
        <f t="shared" si="41"/>
        <v>1.2666666666666666</v>
      </c>
      <c r="AD94" s="67">
        <f t="shared" si="41"/>
        <v>1.0187667560321716</v>
      </c>
    </row>
    <row r="95" spans="1:37" ht="45" outlineLevel="2" x14ac:dyDescent="0.25">
      <c r="A95" s="262" t="s">
        <v>103</v>
      </c>
      <c r="B95" s="456" t="s">
        <v>744</v>
      </c>
      <c r="C95" s="167" t="s">
        <v>321</v>
      </c>
      <c r="D95" s="272" t="s">
        <v>319</v>
      </c>
      <c r="E95" s="455">
        <v>17.7</v>
      </c>
      <c r="F95" s="455">
        <v>19</v>
      </c>
      <c r="G95" s="455">
        <v>28</v>
      </c>
      <c r="H95" s="273">
        <f t="shared" si="53"/>
        <v>1.4736842105263157</v>
      </c>
      <c r="I95" s="273">
        <f t="shared" si="54"/>
        <v>1.5819209039548023</v>
      </c>
      <c r="J95" s="274" t="s">
        <v>1711</v>
      </c>
      <c r="K95" s="274" t="s">
        <v>41</v>
      </c>
      <c r="L95" s="74" t="s">
        <v>63</v>
      </c>
      <c r="M95" s="40">
        <v>1</v>
      </c>
      <c r="N95" s="41">
        <f t="shared" si="42"/>
        <v>1</v>
      </c>
      <c r="O95" s="41">
        <f t="shared" si="48"/>
        <v>1.25</v>
      </c>
      <c r="AC95" s="67">
        <f t="shared" si="41"/>
        <v>1.4736842105263157</v>
      </c>
      <c r="AD95" s="67">
        <f t="shared" si="41"/>
        <v>1.5819209039548023</v>
      </c>
    </row>
    <row r="96" spans="1:37" ht="67.5" outlineLevel="2" x14ac:dyDescent="0.25">
      <c r="A96" s="262" t="s">
        <v>236</v>
      </c>
      <c r="B96" s="456" t="s">
        <v>745</v>
      </c>
      <c r="C96" s="167" t="s">
        <v>321</v>
      </c>
      <c r="D96" s="272" t="s">
        <v>319</v>
      </c>
      <c r="E96" s="455">
        <v>102.4</v>
      </c>
      <c r="F96" s="455">
        <v>100</v>
      </c>
      <c r="G96" s="455">
        <v>100.1</v>
      </c>
      <c r="H96" s="273">
        <f t="shared" si="53"/>
        <v>1.0009999999999999</v>
      </c>
      <c r="I96" s="273">
        <f t="shared" si="54"/>
        <v>0.97753906249999989</v>
      </c>
      <c r="J96" s="274" t="s">
        <v>2088</v>
      </c>
      <c r="K96" s="274" t="s">
        <v>41</v>
      </c>
      <c r="L96" s="74" t="s">
        <v>63</v>
      </c>
      <c r="M96" s="40">
        <v>1</v>
      </c>
      <c r="N96" s="41">
        <f t="shared" si="42"/>
        <v>1</v>
      </c>
      <c r="O96" s="41">
        <f t="shared" si="48"/>
        <v>0.97753906249999989</v>
      </c>
      <c r="AC96" s="67">
        <f t="shared" si="41"/>
        <v>1.0009999999999999</v>
      </c>
      <c r="AD96" s="67">
        <f t="shared" si="41"/>
        <v>0.97753906249999989</v>
      </c>
    </row>
    <row r="97" spans="1:37" ht="105" customHeight="1" outlineLevel="2" x14ac:dyDescent="0.25">
      <c r="A97" s="262" t="s">
        <v>367</v>
      </c>
      <c r="B97" s="456" t="s">
        <v>1707</v>
      </c>
      <c r="C97" s="167" t="s">
        <v>321</v>
      </c>
      <c r="D97" s="272" t="s">
        <v>319</v>
      </c>
      <c r="E97" s="455" t="s">
        <v>41</v>
      </c>
      <c r="F97" s="455">
        <v>1680</v>
      </c>
      <c r="G97" s="455">
        <v>1680</v>
      </c>
      <c r="H97" s="273">
        <f t="shared" si="53"/>
        <v>1</v>
      </c>
      <c r="I97" s="273" t="s">
        <v>41</v>
      </c>
      <c r="J97" s="274" t="s">
        <v>41</v>
      </c>
      <c r="K97" s="274" t="s">
        <v>41</v>
      </c>
      <c r="L97" s="74" t="s">
        <v>63</v>
      </c>
      <c r="M97" s="40">
        <v>1</v>
      </c>
      <c r="N97" s="41">
        <f t="shared" si="42"/>
        <v>1</v>
      </c>
      <c r="O97" s="41" t="s">
        <v>41</v>
      </c>
      <c r="AC97" s="67">
        <f t="shared" si="41"/>
        <v>1</v>
      </c>
      <c r="AD97" s="67" t="str">
        <f t="shared" si="41"/>
        <v>-</v>
      </c>
    </row>
    <row r="98" spans="1:37" ht="37.5" customHeight="1" outlineLevel="2" x14ac:dyDescent="0.25">
      <c r="A98" s="262" t="s">
        <v>653</v>
      </c>
      <c r="B98" s="456" t="s">
        <v>747</v>
      </c>
      <c r="C98" s="167" t="s">
        <v>321</v>
      </c>
      <c r="D98" s="272" t="s">
        <v>319</v>
      </c>
      <c r="E98" s="455">
        <v>15.5</v>
      </c>
      <c r="F98" s="455">
        <v>16</v>
      </c>
      <c r="G98" s="455">
        <v>17.5</v>
      </c>
      <c r="H98" s="273">
        <f t="shared" si="53"/>
        <v>1.09375</v>
      </c>
      <c r="I98" s="273">
        <f t="shared" si="54"/>
        <v>1.1290322580645162</v>
      </c>
      <c r="J98" s="274" t="s">
        <v>1712</v>
      </c>
      <c r="K98" s="274" t="s">
        <v>41</v>
      </c>
      <c r="L98" s="74" t="s">
        <v>63</v>
      </c>
      <c r="M98" s="40">
        <v>1</v>
      </c>
      <c r="N98" s="41">
        <f t="shared" si="42"/>
        <v>1</v>
      </c>
      <c r="O98" s="41">
        <f t="shared" si="48"/>
        <v>1.1290322580645162</v>
      </c>
      <c r="AC98" s="67">
        <f t="shared" si="41"/>
        <v>1.09375</v>
      </c>
      <c r="AD98" s="67">
        <f t="shared" si="41"/>
        <v>1.1290322580645162</v>
      </c>
    </row>
    <row r="99" spans="1:37" ht="51.75" customHeight="1" outlineLevel="2" x14ac:dyDescent="0.25">
      <c r="A99" s="262" t="s">
        <v>654</v>
      </c>
      <c r="B99" s="456" t="s">
        <v>748</v>
      </c>
      <c r="C99" s="167" t="s">
        <v>321</v>
      </c>
      <c r="D99" s="272" t="s">
        <v>319</v>
      </c>
      <c r="E99" s="455">
        <v>33</v>
      </c>
      <c r="F99" s="455">
        <v>32.299999999999997</v>
      </c>
      <c r="G99" s="455">
        <v>29.77</v>
      </c>
      <c r="H99" s="273">
        <f t="shared" si="53"/>
        <v>0.92167182662538705</v>
      </c>
      <c r="I99" s="273">
        <f t="shared" si="54"/>
        <v>0.9021212121212121</v>
      </c>
      <c r="J99" s="274" t="s">
        <v>1713</v>
      </c>
      <c r="K99" s="274" t="s">
        <v>2089</v>
      </c>
      <c r="L99" s="74" t="s">
        <v>63</v>
      </c>
      <c r="M99" s="40">
        <v>1</v>
      </c>
      <c r="N99" s="41">
        <f t="shared" si="42"/>
        <v>0.92167182662538705</v>
      </c>
      <c r="O99" s="41">
        <f t="shared" si="48"/>
        <v>0.9021212121212121</v>
      </c>
      <c r="AC99" s="67">
        <f t="shared" si="41"/>
        <v>0.92167182662538705</v>
      </c>
      <c r="AD99" s="67">
        <f t="shared" si="41"/>
        <v>0.9021212121212121</v>
      </c>
    </row>
    <row r="100" spans="1:37" ht="70.5" customHeight="1" outlineLevel="2" x14ac:dyDescent="0.25">
      <c r="A100" s="262" t="s">
        <v>655</v>
      </c>
      <c r="B100" s="456" t="s">
        <v>749</v>
      </c>
      <c r="C100" s="167" t="s">
        <v>321</v>
      </c>
      <c r="D100" s="272" t="s">
        <v>319</v>
      </c>
      <c r="E100" s="455">
        <v>40</v>
      </c>
      <c r="F100" s="455">
        <v>50</v>
      </c>
      <c r="G100" s="455">
        <v>50</v>
      </c>
      <c r="H100" s="273">
        <f t="shared" si="53"/>
        <v>1</v>
      </c>
      <c r="I100" s="273">
        <f t="shared" si="54"/>
        <v>1.25</v>
      </c>
      <c r="J100" s="274" t="s">
        <v>41</v>
      </c>
      <c r="K100" s="274" t="s">
        <v>41</v>
      </c>
      <c r="L100" s="74" t="s">
        <v>63</v>
      </c>
      <c r="M100" s="40">
        <v>1</v>
      </c>
      <c r="N100" s="41">
        <f t="shared" si="42"/>
        <v>1</v>
      </c>
      <c r="O100" s="41" t="s">
        <v>41</v>
      </c>
      <c r="AC100" s="67">
        <f t="shared" si="41"/>
        <v>1</v>
      </c>
      <c r="AD100" s="67" t="s">
        <v>41</v>
      </c>
    </row>
    <row r="101" spans="1:37" ht="51.75" customHeight="1" outlineLevel="2" x14ac:dyDescent="0.25">
      <c r="A101" s="262" t="s">
        <v>1199</v>
      </c>
      <c r="B101" s="456" t="s">
        <v>1708</v>
      </c>
      <c r="C101" s="167" t="s">
        <v>321</v>
      </c>
      <c r="D101" s="272" t="s">
        <v>319</v>
      </c>
      <c r="E101" s="455">
        <v>60</v>
      </c>
      <c r="F101" s="455">
        <v>65</v>
      </c>
      <c r="G101" s="455">
        <v>67</v>
      </c>
      <c r="H101" s="273">
        <f t="shared" ref="H101" si="55">G101/F101</f>
        <v>1.0307692307692307</v>
      </c>
      <c r="I101" s="273">
        <f t="shared" si="54"/>
        <v>1.1166666666666667</v>
      </c>
      <c r="J101" s="274" t="s">
        <v>1714</v>
      </c>
      <c r="K101" s="274" t="s">
        <v>41</v>
      </c>
      <c r="L101" s="74" t="s">
        <v>63</v>
      </c>
      <c r="M101" s="40">
        <v>1</v>
      </c>
      <c r="N101" s="41">
        <f t="shared" ref="N101" si="56">IF(H101&gt;1,1,H101)</f>
        <v>1</v>
      </c>
      <c r="O101" s="41">
        <f t="shared" si="48"/>
        <v>1.1166666666666667</v>
      </c>
      <c r="AC101" s="67">
        <f t="shared" si="41"/>
        <v>1.0307692307692307</v>
      </c>
      <c r="AD101" s="67">
        <f t="shared" si="41"/>
        <v>1.1166666666666667</v>
      </c>
    </row>
    <row r="102" spans="1:37" ht="67.5" outlineLevel="2" x14ac:dyDescent="0.25">
      <c r="A102" s="262" t="s">
        <v>1706</v>
      </c>
      <c r="B102" s="456" t="s">
        <v>1709</v>
      </c>
      <c r="C102" s="167" t="s">
        <v>321</v>
      </c>
      <c r="D102" s="272" t="s">
        <v>319</v>
      </c>
      <c r="E102" s="455" t="s">
        <v>41</v>
      </c>
      <c r="F102" s="455">
        <v>1.07</v>
      </c>
      <c r="G102" s="455">
        <v>6.15</v>
      </c>
      <c r="H102" s="273">
        <f t="shared" si="53"/>
        <v>5.7476635514018692</v>
      </c>
      <c r="I102" s="273" t="s">
        <v>41</v>
      </c>
      <c r="J102" s="274" t="s">
        <v>1715</v>
      </c>
      <c r="K102" s="274" t="s">
        <v>41</v>
      </c>
      <c r="L102" s="74" t="s">
        <v>63</v>
      </c>
      <c r="M102" s="40">
        <v>1</v>
      </c>
      <c r="N102" s="41">
        <f t="shared" si="42"/>
        <v>1</v>
      </c>
      <c r="O102" s="41" t="s">
        <v>41</v>
      </c>
      <c r="AC102" s="67">
        <f t="shared" si="41"/>
        <v>5.7476635514018692</v>
      </c>
      <c r="AD102" s="67" t="str">
        <f t="shared" si="41"/>
        <v>-</v>
      </c>
    </row>
    <row r="103" spans="1:37" s="47" customFormat="1" outlineLevel="1" x14ac:dyDescent="0.25">
      <c r="A103" s="68" t="s">
        <v>186</v>
      </c>
      <c r="B103" s="572" t="s">
        <v>752</v>
      </c>
      <c r="C103" s="573"/>
      <c r="D103" s="573"/>
      <c r="E103" s="573"/>
      <c r="F103" s="573"/>
      <c r="G103" s="574"/>
      <c r="H103" s="69">
        <f>AVERAGE(N104:N106)</f>
        <v>1</v>
      </c>
      <c r="I103" s="69">
        <f>AVERAGE(O104:O106)</f>
        <v>1.0081466395112015</v>
      </c>
      <c r="J103" s="70"/>
      <c r="K103" s="70"/>
      <c r="L103" s="71"/>
      <c r="M103" s="64"/>
      <c r="N103" s="41"/>
      <c r="O103" s="41"/>
      <c r="P103" s="49"/>
      <c r="Q103" s="49"/>
      <c r="R103" s="104">
        <f>COUNTA(C104:C106)</f>
        <v>3</v>
      </c>
      <c r="S103" s="103">
        <v>1</v>
      </c>
      <c r="T103" s="104">
        <f>COUNTIFS(AC104:AC106,"&gt;1,50")</f>
        <v>0</v>
      </c>
      <c r="U103" s="104">
        <f>COUNTIFS(AC104:AC106,"&gt;=0,995",AC104:AC106,"&lt;=1,5")</f>
        <v>2</v>
      </c>
      <c r="V103" s="104">
        <f>COUNTIFS(AC104:AC106,"&gt;=0,85",AC104:AC106,"&lt;0,995")</f>
        <v>0</v>
      </c>
      <c r="W103" s="104">
        <f>COUNTIFS(AC104:AC106,"&lt;0,85")</f>
        <v>0</v>
      </c>
      <c r="X103" s="52"/>
      <c r="Z103" s="96">
        <f>COUNTIFS(AD104:AD106,"&gt;=1,01")</f>
        <v>0</v>
      </c>
      <c r="AA103" s="96">
        <f>COUNTIFS(AD104:AD106,"&gt;=0,99",AD104:AD106,"&lt;1,01")</f>
        <v>1</v>
      </c>
      <c r="AB103" s="97">
        <f>COUNTIFS(AD104:AD106,"&lt;0,99")</f>
        <v>0</v>
      </c>
      <c r="AC103" s="67"/>
      <c r="AD103" s="67"/>
      <c r="AK103" s="47">
        <f>SUM(T103:X103)-R103</f>
        <v>-1</v>
      </c>
    </row>
    <row r="104" spans="1:37" ht="74.25" customHeight="1" outlineLevel="2" x14ac:dyDescent="0.25">
      <c r="A104" s="262" t="s">
        <v>750</v>
      </c>
      <c r="B104" s="456" t="s">
        <v>368</v>
      </c>
      <c r="C104" s="137" t="s">
        <v>321</v>
      </c>
      <c r="D104" s="272" t="s">
        <v>319</v>
      </c>
      <c r="E104" s="455">
        <v>98.2</v>
      </c>
      <c r="F104" s="455">
        <v>99</v>
      </c>
      <c r="G104" s="455">
        <v>99</v>
      </c>
      <c r="H104" s="273">
        <f t="shared" ref="H104" si="57">G104/F104</f>
        <v>1</v>
      </c>
      <c r="I104" s="273">
        <f t="shared" ref="I104" si="58">G104/E104</f>
        <v>1.0081466395112015</v>
      </c>
      <c r="J104" s="274" t="s">
        <v>41</v>
      </c>
      <c r="K104" s="274" t="s">
        <v>41</v>
      </c>
      <c r="L104" s="74" t="s">
        <v>63</v>
      </c>
      <c r="M104" s="40">
        <v>1</v>
      </c>
      <c r="N104" s="41">
        <f t="shared" si="42"/>
        <v>1</v>
      </c>
      <c r="O104" s="41">
        <f t="shared" ref="O104:O111" si="59">IF(I104&gt;1.25,1.25,I104)</f>
        <v>1.0081466395112015</v>
      </c>
      <c r="AC104" s="67">
        <f t="shared" si="41"/>
        <v>1</v>
      </c>
      <c r="AD104" s="67">
        <f t="shared" si="41"/>
        <v>1.0081466395112015</v>
      </c>
    </row>
    <row r="105" spans="1:37" ht="74.25" customHeight="1" outlineLevel="2" x14ac:dyDescent="0.25">
      <c r="A105" s="262" t="s">
        <v>751</v>
      </c>
      <c r="B105" s="456" t="s">
        <v>366</v>
      </c>
      <c r="C105" s="455" t="s">
        <v>321</v>
      </c>
      <c r="D105" s="251" t="s">
        <v>302</v>
      </c>
      <c r="E105" s="455">
        <v>36.4</v>
      </c>
      <c r="F105" s="455">
        <v>35.200000000000003</v>
      </c>
      <c r="G105" s="455">
        <v>62.7</v>
      </c>
      <c r="H105" s="273">
        <f>F105/G105</f>
        <v>0.56140350877192979</v>
      </c>
      <c r="I105" s="278">
        <f>E105/G105</f>
        <v>0.58054226475279103</v>
      </c>
      <c r="J105" s="274" t="s">
        <v>1718</v>
      </c>
      <c r="K105" s="274" t="s">
        <v>1196</v>
      </c>
      <c r="L105" s="74" t="s">
        <v>63</v>
      </c>
      <c r="M105" s="40">
        <v>-1</v>
      </c>
      <c r="N105" s="41" t="s">
        <v>41</v>
      </c>
      <c r="O105" s="41" t="s">
        <v>41</v>
      </c>
      <c r="AC105" s="67" t="s">
        <v>41</v>
      </c>
      <c r="AD105" s="67" t="s">
        <v>41</v>
      </c>
    </row>
    <row r="106" spans="1:37" ht="56.25" outlineLevel="2" x14ac:dyDescent="0.25">
      <c r="A106" s="262" t="s">
        <v>1716</v>
      </c>
      <c r="B106" s="456" t="s">
        <v>1717</v>
      </c>
      <c r="C106" s="137" t="s">
        <v>321</v>
      </c>
      <c r="D106" s="265" t="s">
        <v>339</v>
      </c>
      <c r="E106" s="455" t="s">
        <v>41</v>
      </c>
      <c r="F106" s="455">
        <v>4</v>
      </c>
      <c r="G106" s="455">
        <v>5</v>
      </c>
      <c r="H106" s="273">
        <f t="shared" ref="H106" si="60">G106/F106</f>
        <v>1.25</v>
      </c>
      <c r="I106" s="273" t="s">
        <v>41</v>
      </c>
      <c r="J106" s="274" t="s">
        <v>1719</v>
      </c>
      <c r="K106" s="274" t="s">
        <v>41</v>
      </c>
      <c r="L106" s="74" t="s">
        <v>63</v>
      </c>
      <c r="M106" s="40">
        <v>-1</v>
      </c>
      <c r="N106" s="41">
        <f t="shared" si="42"/>
        <v>1</v>
      </c>
      <c r="O106" s="41" t="s">
        <v>41</v>
      </c>
      <c r="AC106" s="67">
        <f t="shared" si="41"/>
        <v>1.25</v>
      </c>
      <c r="AD106" s="67" t="str">
        <f t="shared" si="41"/>
        <v>-</v>
      </c>
    </row>
    <row r="107" spans="1:37" s="47" customFormat="1" ht="18" customHeight="1" x14ac:dyDescent="0.25">
      <c r="A107" s="493">
        <v>3</v>
      </c>
      <c r="B107" s="577" t="s">
        <v>753</v>
      </c>
      <c r="C107" s="577"/>
      <c r="D107" s="577"/>
      <c r="E107" s="577"/>
      <c r="F107" s="577"/>
      <c r="G107" s="577"/>
      <c r="H107" s="494">
        <f>AVERAGE(N108:N112,N114:N118,N120:N131,N133:N137)</f>
        <v>0.98624298111281261</v>
      </c>
      <c r="I107" s="494">
        <f>AVERAGE(O108:O137)</f>
        <v>1.0637313282477079</v>
      </c>
      <c r="J107" s="495"/>
      <c r="K107" s="495"/>
      <c r="L107" s="496"/>
      <c r="M107" s="64"/>
      <c r="N107" s="41"/>
      <c r="O107" s="41"/>
      <c r="P107" s="49"/>
      <c r="Q107" s="49"/>
      <c r="R107" s="110">
        <f>COUNTA(C108:C137)</f>
        <v>27</v>
      </c>
      <c r="S107" s="102">
        <f>R107-T107-U107-V107-W107</f>
        <v>3</v>
      </c>
      <c r="T107" s="110">
        <f>COUNTIFS(AC108:AC137,"&gt;1,50")</f>
        <v>3</v>
      </c>
      <c r="U107" s="110">
        <f>COUNTIFS(AC108:AC137,"&gt;=0,995",AC108:AC137,"&lt;=1,5")</f>
        <v>18</v>
      </c>
      <c r="V107" s="110">
        <f>COUNTIFS(AC108:AC137,"&gt;=0,85",AC108:AC137,"&lt;0,995")</f>
        <v>2</v>
      </c>
      <c r="W107" s="110">
        <f>COUNTIFS(AC108:AC137,"&lt;0,85")</f>
        <v>1</v>
      </c>
      <c r="X107" s="49"/>
      <c r="Z107" s="100">
        <f>COUNTIFS(AD108:AD137,"&gt;=1,01")</f>
        <v>10</v>
      </c>
      <c r="AA107" s="100">
        <f>COUNTIFS(AD108:AD137,"&gt;=0,99",AD108:AD137,"&lt;1,01")</f>
        <v>6</v>
      </c>
      <c r="AB107" s="101">
        <f>COUNTIFS(AD108:AD137,"&lt;0,99")</f>
        <v>2</v>
      </c>
      <c r="AC107" s="67"/>
      <c r="AD107" s="67"/>
      <c r="AK107" s="47">
        <f>SUM(T107:X107)-R107</f>
        <v>-3</v>
      </c>
    </row>
    <row r="108" spans="1:37" ht="45" outlineLevel="2" x14ac:dyDescent="0.25">
      <c r="A108" s="262" t="s">
        <v>369</v>
      </c>
      <c r="B108" s="38" t="s">
        <v>372</v>
      </c>
      <c r="C108" s="167" t="s">
        <v>321</v>
      </c>
      <c r="D108" s="280" t="s">
        <v>302</v>
      </c>
      <c r="E108" s="157">
        <v>12.75</v>
      </c>
      <c r="F108" s="157">
        <v>16.420000000000002</v>
      </c>
      <c r="G108" s="157">
        <v>1.88</v>
      </c>
      <c r="H108" s="216">
        <f>(F108/G108)</f>
        <v>8.7340425531914914</v>
      </c>
      <c r="I108" s="216">
        <f>(E108/G108)</f>
        <v>6.7819148936170217</v>
      </c>
      <c r="J108" s="167" t="s">
        <v>1515</v>
      </c>
      <c r="K108" s="167" t="s">
        <v>1516</v>
      </c>
      <c r="L108" s="39" t="s">
        <v>241</v>
      </c>
      <c r="M108" s="40">
        <v>-1</v>
      </c>
      <c r="N108" s="41">
        <f t="shared" ref="N108" si="61">IF(H108&gt;1,1,H108)</f>
        <v>1</v>
      </c>
      <c r="O108" s="41">
        <f t="shared" ref="O108" si="62">IF(I108&gt;1.25,1.25,I108)</f>
        <v>1.25</v>
      </c>
      <c r="AC108" s="67">
        <f t="shared" ref="AC108" si="63">H108</f>
        <v>8.7340425531914914</v>
      </c>
      <c r="AD108" s="67">
        <f t="shared" ref="AD108" si="64">I108</f>
        <v>6.7819148936170217</v>
      </c>
    </row>
    <row r="109" spans="1:37" ht="63" customHeight="1" outlineLevel="2" x14ac:dyDescent="0.25">
      <c r="A109" s="262" t="s">
        <v>371</v>
      </c>
      <c r="B109" s="38" t="s">
        <v>370</v>
      </c>
      <c r="C109" s="167" t="s">
        <v>321</v>
      </c>
      <c r="D109" s="280" t="s">
        <v>302</v>
      </c>
      <c r="E109" s="157">
        <v>9.1</v>
      </c>
      <c r="F109" s="157">
        <v>8.5</v>
      </c>
      <c r="G109" s="157">
        <v>8.5</v>
      </c>
      <c r="H109" s="216">
        <f>(F109/G109)</f>
        <v>1</v>
      </c>
      <c r="I109" s="216">
        <f>(E109/G109)</f>
        <v>1.0705882352941176</v>
      </c>
      <c r="J109" s="167" t="s">
        <v>1517</v>
      </c>
      <c r="K109" s="167" t="s">
        <v>1519</v>
      </c>
      <c r="L109" s="39" t="s">
        <v>241</v>
      </c>
      <c r="M109" s="40">
        <v>-1</v>
      </c>
      <c r="N109" s="41" t="s">
        <v>41</v>
      </c>
      <c r="O109" s="41" t="s">
        <v>41</v>
      </c>
      <c r="AC109" s="67"/>
      <c r="AD109" s="67"/>
    </row>
    <row r="110" spans="1:37" ht="67.5" outlineLevel="2" x14ac:dyDescent="0.25">
      <c r="A110" s="262" t="s">
        <v>373</v>
      </c>
      <c r="B110" s="38" t="s">
        <v>374</v>
      </c>
      <c r="C110" s="167" t="s">
        <v>321</v>
      </c>
      <c r="D110" s="272" t="s">
        <v>319</v>
      </c>
      <c r="E110" s="157">
        <v>100</v>
      </c>
      <c r="F110" s="157">
        <v>100</v>
      </c>
      <c r="G110" s="157">
        <v>100</v>
      </c>
      <c r="H110" s="216">
        <f>(G110/F110)</f>
        <v>1</v>
      </c>
      <c r="I110" s="216">
        <f>(G110/E110)</f>
        <v>1</v>
      </c>
      <c r="J110" s="167" t="s">
        <v>41</v>
      </c>
      <c r="K110" s="167" t="s">
        <v>41</v>
      </c>
      <c r="L110" s="39" t="s">
        <v>241</v>
      </c>
      <c r="M110" s="40">
        <v>1</v>
      </c>
      <c r="N110" s="41">
        <f t="shared" si="42"/>
        <v>1</v>
      </c>
      <c r="O110" s="41">
        <f t="shared" si="59"/>
        <v>1</v>
      </c>
      <c r="AC110" s="67">
        <f t="shared" si="41"/>
        <v>1</v>
      </c>
      <c r="AD110" s="67">
        <f t="shared" si="41"/>
        <v>1</v>
      </c>
    </row>
    <row r="111" spans="1:37" ht="56.25" outlineLevel="2" x14ac:dyDescent="0.25">
      <c r="A111" s="262" t="s">
        <v>375</v>
      </c>
      <c r="B111" s="38" t="s">
        <v>376</v>
      </c>
      <c r="C111" s="167" t="s">
        <v>321</v>
      </c>
      <c r="D111" s="272" t="s">
        <v>319</v>
      </c>
      <c r="E111" s="157">
        <v>92.5</v>
      </c>
      <c r="F111" s="157">
        <v>91.6</v>
      </c>
      <c r="G111" s="157">
        <v>93.2</v>
      </c>
      <c r="H111" s="216">
        <f>(G111/F111)</f>
        <v>1.017467248908297</v>
      </c>
      <c r="I111" s="216">
        <f>(G111/E111)</f>
        <v>1.0075675675675675</v>
      </c>
      <c r="J111" s="167" t="s">
        <v>41</v>
      </c>
      <c r="K111" s="167" t="s">
        <v>41</v>
      </c>
      <c r="L111" s="39" t="s">
        <v>63</v>
      </c>
      <c r="M111" s="40">
        <v>1</v>
      </c>
      <c r="N111" s="41">
        <f t="shared" si="42"/>
        <v>1</v>
      </c>
      <c r="O111" s="41">
        <f t="shared" si="59"/>
        <v>1.0075675675675675</v>
      </c>
      <c r="AC111" s="67">
        <f t="shared" si="41"/>
        <v>1.017467248908297</v>
      </c>
      <c r="AD111" s="67">
        <f t="shared" si="41"/>
        <v>1.0075675675675675</v>
      </c>
    </row>
    <row r="112" spans="1:37" ht="45" outlineLevel="2" x14ac:dyDescent="0.25">
      <c r="A112" s="262" t="s">
        <v>377</v>
      </c>
      <c r="B112" s="38" t="s">
        <v>379</v>
      </c>
      <c r="C112" s="167" t="s">
        <v>380</v>
      </c>
      <c r="D112" s="281" t="s">
        <v>378</v>
      </c>
      <c r="E112" s="157">
        <v>1.47</v>
      </c>
      <c r="F112" s="157">
        <v>1.25</v>
      </c>
      <c r="G112" s="157">
        <v>1.44</v>
      </c>
      <c r="H112" s="216">
        <f>(G112/F112)</f>
        <v>1.1519999999999999</v>
      </c>
      <c r="I112" s="216">
        <f>(G112/E112)</f>
        <v>0.97959183673469385</v>
      </c>
      <c r="J112" s="167" t="s">
        <v>1518</v>
      </c>
      <c r="K112" s="167" t="s">
        <v>41</v>
      </c>
      <c r="L112" s="39" t="s">
        <v>241</v>
      </c>
      <c r="M112" s="40">
        <v>0</v>
      </c>
      <c r="N112" s="41" t="s">
        <v>41</v>
      </c>
      <c r="O112" s="41" t="s">
        <v>41</v>
      </c>
      <c r="AC112" s="67"/>
      <c r="AD112" s="67"/>
    </row>
    <row r="113" spans="1:37" s="47" customFormat="1" ht="27" customHeight="1" outlineLevel="1" x14ac:dyDescent="0.25">
      <c r="A113" s="68" t="s">
        <v>104</v>
      </c>
      <c r="B113" s="571" t="s">
        <v>754</v>
      </c>
      <c r="C113" s="571"/>
      <c r="D113" s="571"/>
      <c r="E113" s="571"/>
      <c r="F113" s="571"/>
      <c r="G113" s="571"/>
      <c r="H113" s="69">
        <f>AVERAGE(N114:N118)</f>
        <v>1</v>
      </c>
      <c r="I113" s="69">
        <f>AVERAGE(O114:O118)</f>
        <v>1.0078740157480315</v>
      </c>
      <c r="J113" s="70"/>
      <c r="K113" s="70"/>
      <c r="L113" s="71"/>
      <c r="M113" s="64"/>
      <c r="N113" s="41"/>
      <c r="O113" s="51"/>
      <c r="P113" s="49"/>
      <c r="Q113" s="49"/>
      <c r="R113" s="104">
        <f>COUNTA(C114:C118)</f>
        <v>5</v>
      </c>
      <c r="S113" s="103">
        <v>1</v>
      </c>
      <c r="T113" s="104">
        <f>COUNTIFS(AC114:AC118,"&gt;1,50")</f>
        <v>0</v>
      </c>
      <c r="U113" s="104">
        <f>COUNTIFS(AC114:AC118,"&gt;=0,995",AC114:AC118,"&lt;=1,5")</f>
        <v>4</v>
      </c>
      <c r="V113" s="104">
        <f>COUNTIFS(AC114:AC118,"&gt;=0,85",AC114:AC118,"&lt;0,995")</f>
        <v>0</v>
      </c>
      <c r="W113" s="104">
        <f>COUNTIFS(AC114:AC118,"&lt;0,85")</f>
        <v>0</v>
      </c>
      <c r="X113" s="52">
        <v>1</v>
      </c>
      <c r="Z113" s="96">
        <f>COUNTIFS(AD114:AD118,"&gt;=1,01")</f>
        <v>1</v>
      </c>
      <c r="AA113" s="96">
        <f>COUNTIFS(AD114:AD118,"&gt;=0,99",AD114:AD118,"&lt;1,01")</f>
        <v>2</v>
      </c>
      <c r="AB113" s="97">
        <f>COUNTIFS(AD114:AD118,"&lt;0,99")</f>
        <v>0</v>
      </c>
      <c r="AC113" s="67"/>
      <c r="AD113" s="67"/>
      <c r="AK113" s="47">
        <f>SUM(T113:X113)-R113</f>
        <v>0</v>
      </c>
    </row>
    <row r="114" spans="1:37" ht="63" customHeight="1" outlineLevel="2" x14ac:dyDescent="0.25">
      <c r="A114" s="262" t="s">
        <v>105</v>
      </c>
      <c r="B114" s="38" t="s">
        <v>755</v>
      </c>
      <c r="C114" s="167" t="s">
        <v>321</v>
      </c>
      <c r="D114" s="272" t="s">
        <v>319</v>
      </c>
      <c r="E114" s="157">
        <v>12.7</v>
      </c>
      <c r="F114" s="157">
        <v>12.9</v>
      </c>
      <c r="G114" s="157">
        <v>13</v>
      </c>
      <c r="H114" s="216">
        <f>(G114/F114)</f>
        <v>1.0077519379844961</v>
      </c>
      <c r="I114" s="216">
        <f>(G114/E114)</f>
        <v>1.0236220472440944</v>
      </c>
      <c r="J114" s="167" t="s">
        <v>41</v>
      </c>
      <c r="K114" s="167" t="s">
        <v>41</v>
      </c>
      <c r="L114" s="39" t="s">
        <v>241</v>
      </c>
      <c r="M114" s="40">
        <v>1</v>
      </c>
      <c r="N114" s="41">
        <f t="shared" si="42"/>
        <v>1</v>
      </c>
      <c r="O114" s="41">
        <f t="shared" ref="O114:O130" si="65">IF(I114&gt;1.25,1.25,I114)</f>
        <v>1.0236220472440944</v>
      </c>
      <c r="AC114" s="67">
        <f t="shared" si="41"/>
        <v>1.0077519379844961</v>
      </c>
      <c r="AD114" s="67">
        <f t="shared" si="41"/>
        <v>1.0236220472440944</v>
      </c>
    </row>
    <row r="115" spans="1:37" ht="114" customHeight="1" outlineLevel="2" x14ac:dyDescent="0.25">
      <c r="A115" s="262" t="s">
        <v>106</v>
      </c>
      <c r="B115" s="38" t="s">
        <v>756</v>
      </c>
      <c r="C115" s="167" t="s">
        <v>321</v>
      </c>
      <c r="D115" s="272" t="s">
        <v>319</v>
      </c>
      <c r="E115" s="157">
        <v>95.5</v>
      </c>
      <c r="F115" s="157">
        <v>100</v>
      </c>
      <c r="G115" s="157">
        <v>97.5</v>
      </c>
      <c r="H115" s="216">
        <f>(G115/F115)</f>
        <v>0.97499999999999998</v>
      </c>
      <c r="I115" s="216">
        <f>(G115/E115)</f>
        <v>1.0209424083769634</v>
      </c>
      <c r="J115" s="282" t="s">
        <v>1523</v>
      </c>
      <c r="K115" s="167" t="s">
        <v>41</v>
      </c>
      <c r="L115" s="39" t="s">
        <v>241</v>
      </c>
      <c r="M115" s="40">
        <v>1</v>
      </c>
      <c r="N115" s="41" t="s">
        <v>41</v>
      </c>
      <c r="O115" s="41" t="s">
        <v>41</v>
      </c>
      <c r="AC115" s="67"/>
      <c r="AD115" s="67"/>
    </row>
    <row r="116" spans="1:37" ht="123.75" outlineLevel="2" x14ac:dyDescent="0.25">
      <c r="A116" s="262" t="s">
        <v>107</v>
      </c>
      <c r="B116" s="38" t="s">
        <v>381</v>
      </c>
      <c r="C116" s="167" t="s">
        <v>321</v>
      </c>
      <c r="D116" s="280" t="s">
        <v>302</v>
      </c>
      <c r="E116" s="157">
        <v>0</v>
      </c>
      <c r="F116" s="157">
        <v>0</v>
      </c>
      <c r="G116" s="157">
        <v>0</v>
      </c>
      <c r="H116" s="216">
        <v>1</v>
      </c>
      <c r="I116" s="216">
        <v>1</v>
      </c>
      <c r="J116" s="167" t="s">
        <v>41</v>
      </c>
      <c r="K116" s="167" t="s">
        <v>41</v>
      </c>
      <c r="L116" s="39" t="s">
        <v>241</v>
      </c>
      <c r="M116" s="40">
        <v>-1</v>
      </c>
      <c r="N116" s="41">
        <f t="shared" si="42"/>
        <v>1</v>
      </c>
      <c r="O116" s="41">
        <f t="shared" si="65"/>
        <v>1</v>
      </c>
      <c r="AC116" s="67">
        <f t="shared" si="41"/>
        <v>1</v>
      </c>
      <c r="AD116" s="67">
        <f t="shared" si="41"/>
        <v>1</v>
      </c>
    </row>
    <row r="117" spans="1:37" ht="78.75" outlineLevel="2" x14ac:dyDescent="0.25">
      <c r="A117" s="262" t="s">
        <v>108</v>
      </c>
      <c r="B117" s="38" t="s">
        <v>382</v>
      </c>
      <c r="C117" s="167" t="s">
        <v>321</v>
      </c>
      <c r="D117" s="272" t="s">
        <v>319</v>
      </c>
      <c r="E117" s="157">
        <v>56</v>
      </c>
      <c r="F117" s="157">
        <v>56</v>
      </c>
      <c r="G117" s="157">
        <v>56</v>
      </c>
      <c r="H117" s="216">
        <f>(G117/F117)</f>
        <v>1</v>
      </c>
      <c r="I117" s="216">
        <f>(G117/E117)</f>
        <v>1</v>
      </c>
      <c r="J117" s="282" t="s">
        <v>1522</v>
      </c>
      <c r="K117" s="167" t="s">
        <v>41</v>
      </c>
      <c r="L117" s="39" t="s">
        <v>241</v>
      </c>
      <c r="M117" s="40">
        <v>1</v>
      </c>
      <c r="N117" s="41">
        <f t="shared" ref="N117" si="66">IF(H117&gt;1,1,H117)</f>
        <v>1</v>
      </c>
      <c r="O117" s="41">
        <f t="shared" ref="O117" si="67">IF(I117&gt;1.25,1.25,I117)</f>
        <v>1</v>
      </c>
      <c r="AC117" s="67">
        <f t="shared" si="41"/>
        <v>1</v>
      </c>
      <c r="AD117" s="67">
        <f t="shared" si="41"/>
        <v>1</v>
      </c>
    </row>
    <row r="118" spans="1:37" ht="78.75" customHeight="1" outlineLevel="2" x14ac:dyDescent="0.25">
      <c r="A118" s="262" t="s">
        <v>1520</v>
      </c>
      <c r="B118" s="38" t="s">
        <v>1521</v>
      </c>
      <c r="C118" s="167" t="s">
        <v>321</v>
      </c>
      <c r="D118" s="281" t="s">
        <v>378</v>
      </c>
      <c r="E118" s="157" t="s">
        <v>41</v>
      </c>
      <c r="F118" s="157">
        <v>4.0999999999999996</v>
      </c>
      <c r="G118" s="157">
        <v>4.0999999999999996</v>
      </c>
      <c r="H118" s="216">
        <f>(G118/F118)</f>
        <v>1</v>
      </c>
      <c r="I118" s="216" t="s">
        <v>41</v>
      </c>
      <c r="J118" s="167" t="s">
        <v>41</v>
      </c>
      <c r="K118" s="167" t="s">
        <v>41</v>
      </c>
      <c r="L118" s="39" t="s">
        <v>241</v>
      </c>
      <c r="M118" s="40">
        <v>1</v>
      </c>
      <c r="N118" s="41">
        <f t="shared" si="42"/>
        <v>1</v>
      </c>
      <c r="O118" s="41" t="s">
        <v>41</v>
      </c>
      <c r="AC118" s="67">
        <f t="shared" si="41"/>
        <v>1</v>
      </c>
      <c r="AD118" s="67" t="str">
        <f t="shared" si="41"/>
        <v>-</v>
      </c>
    </row>
    <row r="119" spans="1:37" s="47" customFormat="1" ht="21.75" customHeight="1" outlineLevel="1" x14ac:dyDescent="0.25">
      <c r="A119" s="68" t="s">
        <v>109</v>
      </c>
      <c r="B119" s="571" t="s">
        <v>383</v>
      </c>
      <c r="C119" s="571"/>
      <c r="D119" s="571"/>
      <c r="E119" s="571"/>
      <c r="F119" s="571"/>
      <c r="G119" s="571"/>
      <c r="H119" s="69">
        <f>AVERAGE(N120:N131)</f>
        <v>0.98915262889229194</v>
      </c>
      <c r="I119" s="69">
        <f>AVERAGE(O120:O131)</f>
        <v>1.1171927564993944</v>
      </c>
      <c r="J119" s="70"/>
      <c r="K119" s="70"/>
      <c r="L119" s="71"/>
      <c r="M119" s="64"/>
      <c r="N119" s="41"/>
      <c r="O119" s="41"/>
      <c r="P119" s="49"/>
      <c r="Q119" s="49"/>
      <c r="R119" s="104">
        <f>COUNTA(C120:C131)</f>
        <v>12</v>
      </c>
      <c r="S119" s="103">
        <v>0</v>
      </c>
      <c r="T119" s="104">
        <f>COUNTIFS(AC120:AC131,"&gt;1,50")</f>
        <v>1</v>
      </c>
      <c r="U119" s="104">
        <f>COUNTIFS(AC120:AC131,"&gt;=0,995",AC120:AC131,"&lt;=1,5")</f>
        <v>10</v>
      </c>
      <c r="V119" s="104">
        <f>COUNTIFS(AC120:AC131,"&gt;=0,85",AC120:AC131,"&lt;0,995")</f>
        <v>1</v>
      </c>
      <c r="W119" s="104">
        <f>COUNTIFS(AC120:AC131,"&lt;0,85")</f>
        <v>0</v>
      </c>
      <c r="X119" s="52"/>
      <c r="Z119" s="96">
        <f>COUNTIFS(AD120:AD131,"&gt;=1,01")</f>
        <v>7</v>
      </c>
      <c r="AA119" s="96">
        <f>COUNTIFS(AD120:AD131,"&gt;=0,99",AD120:AD131,"&lt;1,01")</f>
        <v>2</v>
      </c>
      <c r="AB119" s="97">
        <f>COUNTIFS(AD120:AD131,"&lt;0,99")</f>
        <v>0</v>
      </c>
      <c r="AC119" s="67"/>
      <c r="AD119" s="67"/>
      <c r="AK119" s="47">
        <f>SUM(T119:X119)-R119</f>
        <v>0</v>
      </c>
    </row>
    <row r="120" spans="1:37" ht="74.25" customHeight="1" outlineLevel="2" x14ac:dyDescent="0.25">
      <c r="A120" s="262" t="s">
        <v>110</v>
      </c>
      <c r="B120" s="38" t="s">
        <v>1105</v>
      </c>
      <c r="C120" s="167" t="s">
        <v>321</v>
      </c>
      <c r="D120" s="272" t="s">
        <v>319</v>
      </c>
      <c r="E120" s="157">
        <v>5.0999999999999996</v>
      </c>
      <c r="F120" s="157">
        <v>4.5</v>
      </c>
      <c r="G120" s="157">
        <v>5.2</v>
      </c>
      <c r="H120" s="216">
        <f>G120/F120</f>
        <v>1.1555555555555557</v>
      </c>
      <c r="I120" s="216">
        <f>G120/E120</f>
        <v>1.0196078431372551</v>
      </c>
      <c r="J120" s="282" t="s">
        <v>1524</v>
      </c>
      <c r="K120" s="282" t="s">
        <v>41</v>
      </c>
      <c r="L120" s="39" t="s">
        <v>241</v>
      </c>
      <c r="M120" s="40">
        <v>1</v>
      </c>
      <c r="N120" s="41">
        <f t="shared" ref="N120" si="68">IF(H120&gt;1,1,H120)</f>
        <v>1</v>
      </c>
      <c r="O120" s="41">
        <f t="shared" ref="O120" si="69">IF(I120&gt;1.25,1.25,I120)</f>
        <v>1.0196078431372551</v>
      </c>
      <c r="AC120" s="67">
        <f t="shared" ref="AC120" si="70">H120</f>
        <v>1.1555555555555557</v>
      </c>
      <c r="AD120" s="67">
        <f t="shared" ref="AD120" si="71">I120</f>
        <v>1.0196078431372551</v>
      </c>
    </row>
    <row r="121" spans="1:37" ht="79.5" customHeight="1" outlineLevel="2" x14ac:dyDescent="0.25">
      <c r="A121" s="262" t="s">
        <v>111</v>
      </c>
      <c r="B121" s="38" t="s">
        <v>759</v>
      </c>
      <c r="C121" s="167" t="s">
        <v>321</v>
      </c>
      <c r="D121" s="272" t="s">
        <v>319</v>
      </c>
      <c r="E121" s="157">
        <v>46.26</v>
      </c>
      <c r="F121" s="157">
        <v>46.6</v>
      </c>
      <c r="G121" s="157">
        <v>48.81</v>
      </c>
      <c r="H121" s="216">
        <f t="shared" ref="H121:H125" si="72">G121/F121</f>
        <v>1.0474248927038627</v>
      </c>
      <c r="I121" s="216">
        <f t="shared" ref="I121:I131" si="73">G121/E121</f>
        <v>1.0551232166018158</v>
      </c>
      <c r="J121" s="282" t="s">
        <v>1525</v>
      </c>
      <c r="K121" s="282" t="s">
        <v>41</v>
      </c>
      <c r="L121" s="39" t="s">
        <v>241</v>
      </c>
      <c r="M121" s="40">
        <v>1</v>
      </c>
      <c r="N121" s="41">
        <f t="shared" si="42"/>
        <v>1</v>
      </c>
      <c r="O121" s="41">
        <f t="shared" si="65"/>
        <v>1.0551232166018158</v>
      </c>
      <c r="AC121" s="67">
        <f t="shared" si="41"/>
        <v>1.0474248927038627</v>
      </c>
      <c r="AD121" s="67">
        <f t="shared" si="41"/>
        <v>1.0551232166018158</v>
      </c>
    </row>
    <row r="122" spans="1:37" ht="34.5" customHeight="1" outlineLevel="2" x14ac:dyDescent="0.25">
      <c r="A122" s="262" t="s">
        <v>112</v>
      </c>
      <c r="B122" s="38" t="s">
        <v>760</v>
      </c>
      <c r="C122" s="167" t="s">
        <v>321</v>
      </c>
      <c r="D122" s="272" t="s">
        <v>319</v>
      </c>
      <c r="E122" s="157">
        <v>91</v>
      </c>
      <c r="F122" s="157">
        <v>91.5</v>
      </c>
      <c r="G122" s="157">
        <v>91.5</v>
      </c>
      <c r="H122" s="216">
        <f t="shared" si="72"/>
        <v>1</v>
      </c>
      <c r="I122" s="216">
        <f t="shared" si="73"/>
        <v>1.0054945054945055</v>
      </c>
      <c r="J122" s="282" t="s">
        <v>41</v>
      </c>
      <c r="K122" s="282" t="s">
        <v>41</v>
      </c>
      <c r="L122" s="39" t="s">
        <v>241</v>
      </c>
      <c r="M122" s="40">
        <v>1</v>
      </c>
      <c r="N122" s="41">
        <f t="shared" si="42"/>
        <v>1</v>
      </c>
      <c r="O122" s="41">
        <f t="shared" si="65"/>
        <v>1.0054945054945055</v>
      </c>
      <c r="AC122" s="67">
        <f t="shared" si="41"/>
        <v>1</v>
      </c>
      <c r="AD122" s="67">
        <f t="shared" si="41"/>
        <v>1.0054945054945055</v>
      </c>
    </row>
    <row r="123" spans="1:37" ht="33.75" outlineLevel="2" x14ac:dyDescent="0.25">
      <c r="A123" s="262" t="s">
        <v>113</v>
      </c>
      <c r="B123" s="38" t="s">
        <v>384</v>
      </c>
      <c r="C123" s="167" t="s">
        <v>327</v>
      </c>
      <c r="D123" s="167" t="s">
        <v>339</v>
      </c>
      <c r="E123" s="157">
        <v>3697</v>
      </c>
      <c r="F123" s="157">
        <v>3700</v>
      </c>
      <c r="G123" s="157">
        <v>4199</v>
      </c>
      <c r="H123" s="216">
        <f t="shared" si="72"/>
        <v>1.1348648648648649</v>
      </c>
      <c r="I123" s="216">
        <f t="shared" si="73"/>
        <v>1.1357857722477684</v>
      </c>
      <c r="J123" s="282" t="s">
        <v>1526</v>
      </c>
      <c r="K123" s="282" t="s">
        <v>41</v>
      </c>
      <c r="L123" s="39" t="s">
        <v>241</v>
      </c>
      <c r="M123" s="40">
        <v>0</v>
      </c>
      <c r="N123" s="41">
        <f t="shared" si="42"/>
        <v>1</v>
      </c>
      <c r="O123" s="41" t="s">
        <v>41</v>
      </c>
      <c r="AC123" s="67">
        <f t="shared" si="41"/>
        <v>1.1348648648648649</v>
      </c>
      <c r="AD123" s="67" t="s">
        <v>41</v>
      </c>
    </row>
    <row r="124" spans="1:37" ht="33.75" outlineLevel="2" x14ac:dyDescent="0.25">
      <c r="A124" s="262" t="s">
        <v>114</v>
      </c>
      <c r="B124" s="38" t="s">
        <v>385</v>
      </c>
      <c r="C124" s="167" t="s">
        <v>321</v>
      </c>
      <c r="D124" s="272" t="s">
        <v>319</v>
      </c>
      <c r="E124" s="157">
        <v>9.1999999999999993</v>
      </c>
      <c r="F124" s="157">
        <v>9.3000000000000007</v>
      </c>
      <c r="G124" s="157">
        <v>9.3000000000000007</v>
      </c>
      <c r="H124" s="216">
        <f t="shared" si="72"/>
        <v>1</v>
      </c>
      <c r="I124" s="216">
        <f t="shared" si="73"/>
        <v>1.0108695652173914</v>
      </c>
      <c r="J124" s="282" t="s">
        <v>41</v>
      </c>
      <c r="K124" s="282" t="s">
        <v>41</v>
      </c>
      <c r="L124" s="39" t="s">
        <v>184</v>
      </c>
      <c r="M124" s="40">
        <v>1</v>
      </c>
      <c r="N124" s="41">
        <f t="shared" si="42"/>
        <v>1</v>
      </c>
      <c r="O124" s="41">
        <f t="shared" si="65"/>
        <v>1.0108695652173914</v>
      </c>
      <c r="AC124" s="67">
        <f t="shared" si="41"/>
        <v>1</v>
      </c>
      <c r="AD124" s="67">
        <f t="shared" si="41"/>
        <v>1.0108695652173914</v>
      </c>
    </row>
    <row r="125" spans="1:37" ht="45" outlineLevel="2" x14ac:dyDescent="0.25">
      <c r="A125" s="262" t="s">
        <v>115</v>
      </c>
      <c r="B125" s="38" t="s">
        <v>387</v>
      </c>
      <c r="C125" s="167" t="s">
        <v>321</v>
      </c>
      <c r="D125" s="272" t="s">
        <v>319</v>
      </c>
      <c r="E125" s="157">
        <v>98.5</v>
      </c>
      <c r="F125" s="157">
        <v>99</v>
      </c>
      <c r="G125" s="157">
        <v>99</v>
      </c>
      <c r="H125" s="216">
        <f t="shared" si="72"/>
        <v>1</v>
      </c>
      <c r="I125" s="216">
        <f t="shared" si="73"/>
        <v>1.0050761421319796</v>
      </c>
      <c r="J125" s="282" t="s">
        <v>41</v>
      </c>
      <c r="K125" s="282" t="s">
        <v>41</v>
      </c>
      <c r="L125" s="39" t="s">
        <v>241</v>
      </c>
      <c r="M125" s="40">
        <v>1</v>
      </c>
      <c r="N125" s="41">
        <f t="shared" si="42"/>
        <v>1</v>
      </c>
      <c r="O125" s="41">
        <f t="shared" si="65"/>
        <v>1.0050761421319796</v>
      </c>
      <c r="AC125" s="67">
        <f t="shared" si="41"/>
        <v>1</v>
      </c>
      <c r="AD125" s="67">
        <f t="shared" si="41"/>
        <v>1.0050761421319796</v>
      </c>
    </row>
    <row r="126" spans="1:37" ht="67.5" outlineLevel="2" x14ac:dyDescent="0.25">
      <c r="A126" s="262" t="s">
        <v>116</v>
      </c>
      <c r="B126" s="38" t="s">
        <v>386</v>
      </c>
      <c r="C126" s="167" t="s">
        <v>321</v>
      </c>
      <c r="D126" s="167" t="s">
        <v>339</v>
      </c>
      <c r="E126" s="157">
        <v>7.5</v>
      </c>
      <c r="F126" s="157">
        <v>7.5</v>
      </c>
      <c r="G126" s="157">
        <v>7.5</v>
      </c>
      <c r="H126" s="216">
        <f t="shared" ref="H126:H131" si="74">(G126/F126)</f>
        <v>1</v>
      </c>
      <c r="I126" s="216">
        <f t="shared" si="73"/>
        <v>1</v>
      </c>
      <c r="J126" s="282" t="s">
        <v>41</v>
      </c>
      <c r="K126" s="282" t="s">
        <v>41</v>
      </c>
      <c r="L126" s="39" t="s">
        <v>241</v>
      </c>
      <c r="M126" s="40">
        <v>0</v>
      </c>
      <c r="N126" s="41">
        <f t="shared" si="42"/>
        <v>1</v>
      </c>
      <c r="O126" s="41" t="s">
        <v>41</v>
      </c>
      <c r="AC126" s="67">
        <f t="shared" si="41"/>
        <v>1</v>
      </c>
      <c r="AD126" s="67" t="s">
        <v>41</v>
      </c>
    </row>
    <row r="127" spans="1:37" ht="33.75" outlineLevel="2" x14ac:dyDescent="0.25">
      <c r="A127" s="262" t="s">
        <v>117</v>
      </c>
      <c r="B127" s="38" t="s">
        <v>388</v>
      </c>
      <c r="C127" s="167" t="s">
        <v>321</v>
      </c>
      <c r="D127" s="272" t="s">
        <v>319</v>
      </c>
      <c r="E127" s="157">
        <v>72.400000000000006</v>
      </c>
      <c r="F127" s="157">
        <v>77.5</v>
      </c>
      <c r="G127" s="157">
        <v>87.5</v>
      </c>
      <c r="H127" s="216">
        <f t="shared" si="74"/>
        <v>1.1290322580645162</v>
      </c>
      <c r="I127" s="216">
        <f t="shared" si="73"/>
        <v>1.208563535911602</v>
      </c>
      <c r="J127" s="282" t="s">
        <v>1527</v>
      </c>
      <c r="K127" s="282" t="s">
        <v>41</v>
      </c>
      <c r="L127" s="39" t="s">
        <v>53</v>
      </c>
      <c r="M127" s="40">
        <v>1</v>
      </c>
      <c r="N127" s="41">
        <f t="shared" si="42"/>
        <v>1</v>
      </c>
      <c r="O127" s="41">
        <f t="shared" si="65"/>
        <v>1.208563535911602</v>
      </c>
      <c r="AC127" s="67">
        <f t="shared" si="41"/>
        <v>1.1290322580645162</v>
      </c>
      <c r="AD127" s="67">
        <f t="shared" si="41"/>
        <v>1.208563535911602</v>
      </c>
    </row>
    <row r="128" spans="1:37" ht="45" outlineLevel="2" x14ac:dyDescent="0.25">
      <c r="A128" s="262" t="s">
        <v>389</v>
      </c>
      <c r="B128" s="38" t="s">
        <v>390</v>
      </c>
      <c r="C128" s="167" t="s">
        <v>321</v>
      </c>
      <c r="D128" s="272" t="s">
        <v>319</v>
      </c>
      <c r="E128" s="157">
        <v>75.89</v>
      </c>
      <c r="F128" s="157">
        <v>59</v>
      </c>
      <c r="G128" s="157">
        <v>98.7</v>
      </c>
      <c r="H128" s="216">
        <f t="shared" si="74"/>
        <v>1.6728813559322033</v>
      </c>
      <c r="I128" s="216">
        <f t="shared" si="73"/>
        <v>1.3005666095664778</v>
      </c>
      <c r="J128" s="282" t="s">
        <v>1528</v>
      </c>
      <c r="K128" s="282" t="s">
        <v>41</v>
      </c>
      <c r="L128" s="39" t="s">
        <v>53</v>
      </c>
      <c r="M128" s="40">
        <v>0</v>
      </c>
      <c r="N128" s="41">
        <f t="shared" si="42"/>
        <v>1</v>
      </c>
      <c r="O128" s="41">
        <f t="shared" si="65"/>
        <v>1.25</v>
      </c>
      <c r="AC128" s="67">
        <f t="shared" si="41"/>
        <v>1.6728813559322033</v>
      </c>
      <c r="AD128" s="67">
        <f t="shared" si="41"/>
        <v>1.3005666095664778</v>
      </c>
    </row>
    <row r="129" spans="1:37" ht="326.25" outlineLevel="2" x14ac:dyDescent="0.25">
      <c r="A129" s="262" t="s">
        <v>237</v>
      </c>
      <c r="B129" s="38" t="s">
        <v>391</v>
      </c>
      <c r="C129" s="167" t="s">
        <v>321</v>
      </c>
      <c r="D129" s="272" t="s">
        <v>319</v>
      </c>
      <c r="E129" s="157">
        <v>35.49</v>
      </c>
      <c r="F129" s="157">
        <v>65.3</v>
      </c>
      <c r="G129" s="157">
        <v>56.8</v>
      </c>
      <c r="H129" s="216">
        <f t="shared" si="74"/>
        <v>0.86983154670750384</v>
      </c>
      <c r="I129" s="216">
        <f t="shared" si="73"/>
        <v>1.6004508312200618</v>
      </c>
      <c r="J129" s="282" t="s">
        <v>1529</v>
      </c>
      <c r="K129" s="282" t="s">
        <v>1530</v>
      </c>
      <c r="L129" s="39" t="s">
        <v>53</v>
      </c>
      <c r="M129" s="40">
        <v>1</v>
      </c>
      <c r="N129" s="41">
        <f t="shared" si="42"/>
        <v>0.86983154670750384</v>
      </c>
      <c r="O129" s="41">
        <f t="shared" si="65"/>
        <v>1.25</v>
      </c>
      <c r="AC129" s="67">
        <f t="shared" si="41"/>
        <v>0.86983154670750384</v>
      </c>
      <c r="AD129" s="67">
        <f t="shared" si="41"/>
        <v>1.6004508312200618</v>
      </c>
    </row>
    <row r="130" spans="1:37" ht="45" outlineLevel="2" x14ac:dyDescent="0.25">
      <c r="A130" s="262" t="s">
        <v>757</v>
      </c>
      <c r="B130" s="38" t="s">
        <v>392</v>
      </c>
      <c r="C130" s="167" t="s">
        <v>321</v>
      </c>
      <c r="D130" s="272" t="s">
        <v>319</v>
      </c>
      <c r="E130" s="157">
        <v>67.56</v>
      </c>
      <c r="F130" s="157">
        <v>80</v>
      </c>
      <c r="G130" s="157">
        <v>89.5</v>
      </c>
      <c r="H130" s="216">
        <f t="shared" si="74"/>
        <v>1.1187499999999999</v>
      </c>
      <c r="I130" s="216">
        <f t="shared" si="73"/>
        <v>1.3247483718176436</v>
      </c>
      <c r="J130" s="282" t="s">
        <v>1531</v>
      </c>
      <c r="K130" s="282" t="s">
        <v>41</v>
      </c>
      <c r="L130" s="39" t="s">
        <v>53</v>
      </c>
      <c r="M130" s="40">
        <v>1</v>
      </c>
      <c r="N130" s="41">
        <f t="shared" si="42"/>
        <v>1</v>
      </c>
      <c r="O130" s="41">
        <f t="shared" si="65"/>
        <v>1.25</v>
      </c>
      <c r="AC130" s="67">
        <f t="shared" si="41"/>
        <v>1.1187499999999999</v>
      </c>
      <c r="AD130" s="67">
        <f t="shared" si="41"/>
        <v>1.3247483718176436</v>
      </c>
    </row>
    <row r="131" spans="1:37" ht="83.25" customHeight="1" outlineLevel="2" x14ac:dyDescent="0.25">
      <c r="A131" s="262" t="s">
        <v>758</v>
      </c>
      <c r="B131" s="38" t="s">
        <v>761</v>
      </c>
      <c r="C131" s="167" t="s">
        <v>321</v>
      </c>
      <c r="D131" s="167" t="s">
        <v>339</v>
      </c>
      <c r="E131" s="157">
        <v>100</v>
      </c>
      <c r="F131" s="157">
        <v>100</v>
      </c>
      <c r="G131" s="157">
        <v>100</v>
      </c>
      <c r="H131" s="216">
        <f t="shared" si="74"/>
        <v>1</v>
      </c>
      <c r="I131" s="216">
        <f t="shared" si="73"/>
        <v>1</v>
      </c>
      <c r="J131" s="282" t="s">
        <v>41</v>
      </c>
      <c r="K131" s="282" t="s">
        <v>41</v>
      </c>
      <c r="L131" s="39" t="s">
        <v>241</v>
      </c>
      <c r="M131" s="40">
        <v>0</v>
      </c>
      <c r="N131" s="41">
        <f t="shared" si="42"/>
        <v>1</v>
      </c>
      <c r="O131" s="41" t="s">
        <v>41</v>
      </c>
      <c r="AC131" s="67">
        <f t="shared" si="41"/>
        <v>1</v>
      </c>
      <c r="AD131" s="67" t="s">
        <v>41</v>
      </c>
    </row>
    <row r="132" spans="1:37" s="47" customFormat="1" ht="34.5" customHeight="1" outlineLevel="1" x14ac:dyDescent="0.25">
      <c r="A132" s="68" t="s">
        <v>118</v>
      </c>
      <c r="B132" s="572" t="s">
        <v>762</v>
      </c>
      <c r="C132" s="573"/>
      <c r="D132" s="573"/>
      <c r="E132" s="573"/>
      <c r="F132" s="573"/>
      <c r="G132" s="574"/>
      <c r="H132" s="69">
        <f>AVERAGE(N133:N137)</f>
        <v>0.96</v>
      </c>
      <c r="I132" s="69">
        <f>AVERAGE(O133:O137)</f>
        <v>0.93707982838417614</v>
      </c>
      <c r="J132" s="70"/>
      <c r="K132" s="70"/>
      <c r="L132" s="71"/>
      <c r="M132" s="64"/>
      <c r="N132" s="41"/>
      <c r="O132" s="51"/>
      <c r="P132" s="49"/>
      <c r="Q132" s="49"/>
      <c r="R132" s="104">
        <f>COUNTA(C133:C137)</f>
        <v>5</v>
      </c>
      <c r="S132" s="103">
        <v>0</v>
      </c>
      <c r="T132" s="104">
        <f>COUNTIFS(AC133:AC137,"&gt;1,50")</f>
        <v>1</v>
      </c>
      <c r="U132" s="104">
        <f>COUNTIFS(AC133:AC137,"&gt;=0,995",AC133:AC137,"&lt;=1,5")</f>
        <v>2</v>
      </c>
      <c r="V132" s="104">
        <f>COUNTIFS(AC133:AC137,"&gt;=0,85",AC133:AC137,"&lt;0,995")</f>
        <v>1</v>
      </c>
      <c r="W132" s="104">
        <f>COUNTIFS(AC133:AC137,"&lt;0,85")</f>
        <v>1</v>
      </c>
      <c r="X132" s="52"/>
      <c r="Z132" s="96">
        <f>COUNTIFS(AD133:AD137,"&gt;=1,01")</f>
        <v>1</v>
      </c>
      <c r="AA132" s="96">
        <f>COUNTIFS(AD133:AD137,"&gt;=0,99",AD133:AD137,"&lt;1,01")</f>
        <v>0</v>
      </c>
      <c r="AB132" s="97">
        <f>COUNTIFS(AD133:AD137,"&lt;0,99")</f>
        <v>2</v>
      </c>
      <c r="AC132" s="67"/>
      <c r="AD132" s="67"/>
      <c r="AK132" s="47">
        <f>SUM(T132:X132)-R132</f>
        <v>0</v>
      </c>
    </row>
    <row r="133" spans="1:37" ht="67.5" outlineLevel="2" x14ac:dyDescent="0.25">
      <c r="A133" s="262" t="s">
        <v>119</v>
      </c>
      <c r="B133" s="38" t="s">
        <v>393</v>
      </c>
      <c r="C133" s="167" t="s">
        <v>321</v>
      </c>
      <c r="D133" s="167" t="s">
        <v>339</v>
      </c>
      <c r="E133" s="157">
        <v>100</v>
      </c>
      <c r="F133" s="157">
        <v>100</v>
      </c>
      <c r="G133" s="157">
        <v>100</v>
      </c>
      <c r="H133" s="216">
        <f>(G133/F133)</f>
        <v>1</v>
      </c>
      <c r="I133" s="216">
        <f t="shared" ref="I133" si="75">G133/E133</f>
        <v>1</v>
      </c>
      <c r="J133" s="282" t="s">
        <v>41</v>
      </c>
      <c r="K133" s="282" t="s">
        <v>41</v>
      </c>
      <c r="L133" s="39" t="s">
        <v>63</v>
      </c>
      <c r="M133" s="40">
        <v>0</v>
      </c>
      <c r="N133" s="41">
        <f t="shared" si="42"/>
        <v>1</v>
      </c>
      <c r="O133" s="41" t="s">
        <v>41</v>
      </c>
      <c r="AC133" s="67">
        <f t="shared" si="41"/>
        <v>1</v>
      </c>
      <c r="AD133" s="67" t="s">
        <v>41</v>
      </c>
    </row>
    <row r="134" spans="1:37" ht="295.5" customHeight="1" outlineLevel="2" x14ac:dyDescent="0.25">
      <c r="A134" s="262" t="s">
        <v>120</v>
      </c>
      <c r="B134" s="38" t="s">
        <v>763</v>
      </c>
      <c r="C134" s="167" t="s">
        <v>321</v>
      </c>
      <c r="D134" s="272" t="s">
        <v>319</v>
      </c>
      <c r="E134" s="157">
        <v>57.2</v>
      </c>
      <c r="F134" s="157">
        <v>80</v>
      </c>
      <c r="G134" s="157">
        <v>77.599999999999994</v>
      </c>
      <c r="H134" s="216">
        <f>(G134/F134)</f>
        <v>0.97</v>
      </c>
      <c r="I134" s="216">
        <f>(G134/E134)</f>
        <v>1.3566433566433564</v>
      </c>
      <c r="J134" s="282" t="s">
        <v>1535</v>
      </c>
      <c r="K134" s="282" t="s">
        <v>1536</v>
      </c>
      <c r="L134" s="39" t="s">
        <v>63</v>
      </c>
      <c r="M134" s="40">
        <v>1</v>
      </c>
      <c r="N134" s="41">
        <f t="shared" si="42"/>
        <v>0.97</v>
      </c>
      <c r="O134" s="41">
        <f t="shared" ref="O134:O156" si="76">IF(I134&gt;1.25,1.25,I134)</f>
        <v>1.25</v>
      </c>
      <c r="AC134" s="67">
        <f t="shared" si="41"/>
        <v>0.97</v>
      </c>
      <c r="AD134" s="67">
        <f t="shared" si="41"/>
        <v>1.3566433566433564</v>
      </c>
    </row>
    <row r="135" spans="1:37" ht="144" customHeight="1" outlineLevel="2" x14ac:dyDescent="0.25">
      <c r="A135" s="262" t="s">
        <v>394</v>
      </c>
      <c r="B135" s="38" t="s">
        <v>764</v>
      </c>
      <c r="C135" s="167" t="s">
        <v>327</v>
      </c>
      <c r="D135" s="272" t="s">
        <v>319</v>
      </c>
      <c r="E135" s="157">
        <v>138</v>
      </c>
      <c r="F135" s="157">
        <v>100</v>
      </c>
      <c r="G135" s="157">
        <v>83</v>
      </c>
      <c r="H135" s="216">
        <f>(G135/F135)</f>
        <v>0.83</v>
      </c>
      <c r="I135" s="216">
        <f>(G135/E135)</f>
        <v>0.60144927536231885</v>
      </c>
      <c r="J135" s="282" t="s">
        <v>1537</v>
      </c>
      <c r="K135" s="282" t="s">
        <v>1538</v>
      </c>
      <c r="L135" s="39" t="s">
        <v>63</v>
      </c>
      <c r="M135" s="40">
        <v>1</v>
      </c>
      <c r="N135" s="41">
        <f t="shared" si="42"/>
        <v>0.83</v>
      </c>
      <c r="O135" s="41">
        <f t="shared" si="76"/>
        <v>0.60144927536231885</v>
      </c>
      <c r="AC135" s="67">
        <f t="shared" si="41"/>
        <v>0.83</v>
      </c>
      <c r="AD135" s="67">
        <f t="shared" si="41"/>
        <v>0.60144927536231885</v>
      </c>
    </row>
    <row r="136" spans="1:37" ht="144" customHeight="1" outlineLevel="2" x14ac:dyDescent="0.25">
      <c r="A136" s="262" t="s">
        <v>766</v>
      </c>
      <c r="B136" s="38" t="s">
        <v>765</v>
      </c>
      <c r="C136" s="167" t="s">
        <v>321</v>
      </c>
      <c r="D136" s="272" t="s">
        <v>319</v>
      </c>
      <c r="E136" s="157">
        <v>57.2</v>
      </c>
      <c r="F136" s="157">
        <v>51</v>
      </c>
      <c r="G136" s="157">
        <v>54.9</v>
      </c>
      <c r="H136" s="216">
        <f>(G136/F136)</f>
        <v>1.0764705882352941</v>
      </c>
      <c r="I136" s="216">
        <f>(G136/E136)</f>
        <v>0.95979020979020968</v>
      </c>
      <c r="J136" s="282" t="s">
        <v>1106</v>
      </c>
      <c r="K136" s="282" t="s">
        <v>1539</v>
      </c>
      <c r="L136" s="39" t="s">
        <v>63</v>
      </c>
      <c r="M136" s="40">
        <v>1</v>
      </c>
      <c r="N136" s="41">
        <f t="shared" ref="N136" si="77">IF(H136&gt;1,1,H136)</f>
        <v>1</v>
      </c>
      <c r="O136" s="41">
        <f t="shared" ref="O136" si="78">IF(I136&gt;1.25,1.25,I136)</f>
        <v>0.95979020979020968</v>
      </c>
      <c r="AC136" s="67">
        <f t="shared" si="41"/>
        <v>1.0764705882352941</v>
      </c>
      <c r="AD136" s="67">
        <f t="shared" si="41"/>
        <v>0.95979020979020968</v>
      </c>
    </row>
    <row r="137" spans="1:37" ht="45" outlineLevel="2" x14ac:dyDescent="0.25">
      <c r="A137" s="262" t="s">
        <v>1532</v>
      </c>
      <c r="B137" s="38" t="s">
        <v>1533</v>
      </c>
      <c r="C137" s="167" t="s">
        <v>1534</v>
      </c>
      <c r="D137" s="272" t="s">
        <v>319</v>
      </c>
      <c r="E137" s="157" t="s">
        <v>41</v>
      </c>
      <c r="F137" s="157">
        <v>1.4E-2</v>
      </c>
      <c r="G137" s="157">
        <v>2.7E-2</v>
      </c>
      <c r="H137" s="216">
        <f>(G137/F137)</f>
        <v>1.9285714285714286</v>
      </c>
      <c r="I137" s="216" t="s">
        <v>41</v>
      </c>
      <c r="J137" s="282" t="s">
        <v>1540</v>
      </c>
      <c r="K137" s="282" t="s">
        <v>41</v>
      </c>
      <c r="L137" s="39" t="s">
        <v>63</v>
      </c>
      <c r="M137" s="40">
        <v>0</v>
      </c>
      <c r="N137" s="41">
        <f t="shared" si="42"/>
        <v>1</v>
      </c>
      <c r="O137" s="41" t="s">
        <v>41</v>
      </c>
      <c r="AC137" s="67">
        <f t="shared" si="41"/>
        <v>1.9285714285714286</v>
      </c>
      <c r="AD137" s="67" t="str">
        <f t="shared" si="41"/>
        <v>-</v>
      </c>
    </row>
    <row r="138" spans="1:37" s="47" customFormat="1" ht="15.75" customHeight="1" x14ac:dyDescent="0.25">
      <c r="A138" s="493">
        <v>4</v>
      </c>
      <c r="B138" s="577" t="s">
        <v>767</v>
      </c>
      <c r="C138" s="577"/>
      <c r="D138" s="577"/>
      <c r="E138" s="577"/>
      <c r="F138" s="577"/>
      <c r="G138" s="577"/>
      <c r="H138" s="494">
        <f>AVERAGE(N139:N140,N142:N147,N149:N157)</f>
        <v>0.93574868389566879</v>
      </c>
      <c r="I138" s="494">
        <f>AVERAGE(O139:O140,O142:O147,O149:O157)</f>
        <v>1.0094455409578145</v>
      </c>
      <c r="J138" s="495"/>
      <c r="K138" s="495"/>
      <c r="L138" s="496"/>
      <c r="M138" s="64"/>
      <c r="N138" s="41"/>
      <c r="O138" s="41"/>
      <c r="P138" s="49"/>
      <c r="Q138" s="49"/>
      <c r="R138" s="110">
        <f>COUNTA(C139:C157)</f>
        <v>16</v>
      </c>
      <c r="S138" s="102">
        <f>R138-T138-U138-V138-W138</f>
        <v>0</v>
      </c>
      <c r="T138" s="110">
        <f>COUNTIFS(AC139:AC157,"&gt;1,50")</f>
        <v>1</v>
      </c>
      <c r="U138" s="110">
        <f>COUNTIFS(AC139:AC157,"&gt;=0,995",AC139:AC157,"&lt;=1,5")</f>
        <v>13</v>
      </c>
      <c r="V138" s="110">
        <f>COUNTIFS(AC139:AC157,"&gt;=0,85",AC139:AC157,"&lt;0,995")</f>
        <v>0</v>
      </c>
      <c r="W138" s="110">
        <f>COUNTIFS(AC139:AC157,"&lt;0,85")</f>
        <v>2</v>
      </c>
      <c r="X138" s="49"/>
      <c r="Z138" s="100">
        <f>COUNTIFS(AD139:AD157,"&gt;=1,01")</f>
        <v>8</v>
      </c>
      <c r="AA138" s="100">
        <f>COUNTIFS(AD139:AD157,"&gt;=0,99",AD139:AD157,"&lt;1,01")</f>
        <v>0</v>
      </c>
      <c r="AB138" s="101">
        <f>COUNTIFS(AD139:AD157,"&lt;0,99")</f>
        <v>4</v>
      </c>
      <c r="AC138" s="67"/>
      <c r="AD138" s="67"/>
      <c r="AK138" s="47">
        <f>SUM(T138:X138)-R138</f>
        <v>0</v>
      </c>
    </row>
    <row r="139" spans="1:37" ht="33.75" outlineLevel="2" x14ac:dyDescent="0.25">
      <c r="A139" s="262" t="s">
        <v>395</v>
      </c>
      <c r="B139" s="42" t="s">
        <v>396</v>
      </c>
      <c r="C139" s="167" t="s">
        <v>321</v>
      </c>
      <c r="D139" s="272" t="s">
        <v>319</v>
      </c>
      <c r="E139" s="285">
        <v>52</v>
      </c>
      <c r="F139" s="162">
        <v>52.9</v>
      </c>
      <c r="G139" s="285">
        <v>57.2</v>
      </c>
      <c r="H139" s="286">
        <f>G139/F139</f>
        <v>1.0812854442344046</v>
      </c>
      <c r="I139" s="286">
        <f>G139/E139</f>
        <v>1.1000000000000001</v>
      </c>
      <c r="J139" s="167" t="s">
        <v>41</v>
      </c>
      <c r="K139" s="167" t="s">
        <v>41</v>
      </c>
      <c r="L139" s="39" t="s">
        <v>185</v>
      </c>
      <c r="M139" s="40">
        <v>1</v>
      </c>
      <c r="N139" s="41">
        <f t="shared" si="42"/>
        <v>1</v>
      </c>
      <c r="O139" s="41">
        <f t="shared" si="76"/>
        <v>1.1000000000000001</v>
      </c>
      <c r="AC139" s="67">
        <f t="shared" si="41"/>
        <v>1.0812854442344046</v>
      </c>
      <c r="AD139" s="67">
        <f t="shared" si="41"/>
        <v>1.1000000000000001</v>
      </c>
    </row>
    <row r="140" spans="1:37" ht="33.75" outlineLevel="2" x14ac:dyDescent="0.25">
      <c r="A140" s="262" t="s">
        <v>397</v>
      </c>
      <c r="B140" s="168" t="s">
        <v>398</v>
      </c>
      <c r="C140" s="167" t="s">
        <v>399</v>
      </c>
      <c r="D140" s="272" t="s">
        <v>319</v>
      </c>
      <c r="E140" s="287">
        <v>244.1</v>
      </c>
      <c r="F140" s="162">
        <v>172</v>
      </c>
      <c r="G140" s="287">
        <v>279.3</v>
      </c>
      <c r="H140" s="286">
        <f>G140/F140</f>
        <v>1.6238372093023257</v>
      </c>
      <c r="I140" s="286">
        <f>G140/E140</f>
        <v>1.1442031954117167</v>
      </c>
      <c r="J140" s="167" t="s">
        <v>41</v>
      </c>
      <c r="K140" s="167" t="s">
        <v>41</v>
      </c>
      <c r="L140" s="39" t="s">
        <v>185</v>
      </c>
      <c r="M140" s="40">
        <v>1</v>
      </c>
      <c r="N140" s="41">
        <f t="shared" si="42"/>
        <v>1</v>
      </c>
      <c r="O140" s="41">
        <f t="shared" si="76"/>
        <v>1.1442031954117167</v>
      </c>
      <c r="AC140" s="67">
        <f t="shared" si="41"/>
        <v>1.6238372093023257</v>
      </c>
      <c r="AD140" s="67">
        <f t="shared" si="41"/>
        <v>1.1442031954117167</v>
      </c>
    </row>
    <row r="141" spans="1:37" s="47" customFormat="1" ht="22.5" customHeight="1" outlineLevel="1" x14ac:dyDescent="0.25">
      <c r="A141" s="68" t="s">
        <v>121</v>
      </c>
      <c r="B141" s="571" t="s">
        <v>908</v>
      </c>
      <c r="C141" s="571"/>
      <c r="D141" s="571"/>
      <c r="E141" s="571"/>
      <c r="F141" s="571"/>
      <c r="G141" s="571"/>
      <c r="H141" s="69">
        <f>AVERAGE(N142:N147)</f>
        <v>1</v>
      </c>
      <c r="I141" s="69">
        <f>AVERAGE(O142:O147)</f>
        <v>1.10496641205024</v>
      </c>
      <c r="J141" s="70"/>
      <c r="K141" s="70"/>
      <c r="L141" s="71"/>
      <c r="M141" s="64"/>
      <c r="N141" s="41"/>
      <c r="O141" s="41"/>
      <c r="P141" s="49"/>
      <c r="Q141" s="49"/>
      <c r="R141" s="104">
        <f>COUNTA(C142:C147)</f>
        <v>6</v>
      </c>
      <c r="S141" s="103">
        <v>0</v>
      </c>
      <c r="T141" s="104">
        <f>COUNTIFS(AC142:AC147,"&gt;1,50")</f>
        <v>0</v>
      </c>
      <c r="U141" s="104">
        <f>COUNTIFS(AC142:AC147,"&gt;=0,995",AC142:AC147,"&lt;=1,5")</f>
        <v>6</v>
      </c>
      <c r="V141" s="104">
        <f>COUNTIFS(AC142:AC147,"&gt;=0,85",AC142:AC147,"&lt;0,995")</f>
        <v>0</v>
      </c>
      <c r="W141" s="104">
        <f>COUNTIFS(AC142:AC147,"&lt;0,85")</f>
        <v>0</v>
      </c>
      <c r="X141" s="52"/>
      <c r="Z141" s="96">
        <f>COUNTIFS(AD142:AD147,"&gt;=1,01")</f>
        <v>3</v>
      </c>
      <c r="AA141" s="96">
        <f>COUNTIFS(AD142:AD147,"&gt;=0,99",AD142:AD147,"&lt;1,01")</f>
        <v>0</v>
      </c>
      <c r="AB141" s="97">
        <f>COUNTIFS(AD142:AD147,"&lt;0,99")</f>
        <v>1</v>
      </c>
      <c r="AC141" s="67"/>
      <c r="AD141" s="67"/>
      <c r="AK141" s="47">
        <f>SUM(T141:X141)-R141</f>
        <v>0</v>
      </c>
    </row>
    <row r="142" spans="1:37" ht="51.75" customHeight="1" outlineLevel="2" x14ac:dyDescent="0.25">
      <c r="A142" s="262" t="s">
        <v>122</v>
      </c>
      <c r="B142" s="42" t="s">
        <v>1740</v>
      </c>
      <c r="C142" s="167" t="s">
        <v>321</v>
      </c>
      <c r="D142" s="272" t="s">
        <v>319</v>
      </c>
      <c r="E142" s="287">
        <v>90.7</v>
      </c>
      <c r="F142" s="287">
        <v>92.1</v>
      </c>
      <c r="G142" s="287">
        <v>92.3</v>
      </c>
      <c r="H142" s="286">
        <f t="shared" ref="H142:H147" si="79">G142/F142</f>
        <v>1.002171552660152</v>
      </c>
      <c r="I142" s="286">
        <f>G142/E142</f>
        <v>1.0176405733186329</v>
      </c>
      <c r="J142" s="167" t="s">
        <v>41</v>
      </c>
      <c r="K142" s="167" t="s">
        <v>41</v>
      </c>
      <c r="L142" s="39" t="s">
        <v>185</v>
      </c>
      <c r="M142" s="40">
        <v>1</v>
      </c>
      <c r="N142" s="41">
        <f t="shared" si="42"/>
        <v>1</v>
      </c>
      <c r="O142" s="41">
        <f t="shared" si="76"/>
        <v>1.0176405733186329</v>
      </c>
      <c r="AC142" s="67">
        <f t="shared" si="41"/>
        <v>1.002171552660152</v>
      </c>
      <c r="AD142" s="67">
        <f t="shared" si="41"/>
        <v>1.0176405733186329</v>
      </c>
    </row>
    <row r="143" spans="1:37" ht="78.75" outlineLevel="2" x14ac:dyDescent="0.25">
      <c r="A143" s="262" t="s">
        <v>123</v>
      </c>
      <c r="B143" s="42" t="s">
        <v>1741</v>
      </c>
      <c r="C143" s="137" t="s">
        <v>321</v>
      </c>
      <c r="D143" s="272" t="s">
        <v>319</v>
      </c>
      <c r="E143" s="287">
        <v>36.6</v>
      </c>
      <c r="F143" s="287">
        <v>45.8</v>
      </c>
      <c r="G143" s="287">
        <v>48.6</v>
      </c>
      <c r="H143" s="288">
        <f t="shared" si="79"/>
        <v>1.0611353711790394</v>
      </c>
      <c r="I143" s="286">
        <f>G143/E143</f>
        <v>1.3278688524590163</v>
      </c>
      <c r="J143" s="167" t="s">
        <v>41</v>
      </c>
      <c r="K143" s="167" t="s">
        <v>41</v>
      </c>
      <c r="L143" s="39" t="s">
        <v>185</v>
      </c>
      <c r="M143" s="40">
        <v>1</v>
      </c>
      <c r="N143" s="41">
        <f t="shared" si="42"/>
        <v>1</v>
      </c>
      <c r="O143" s="41">
        <f t="shared" si="76"/>
        <v>1.25</v>
      </c>
      <c r="AC143" s="67">
        <f t="shared" si="41"/>
        <v>1.0611353711790394</v>
      </c>
      <c r="AD143" s="67">
        <f t="shared" si="41"/>
        <v>1.3278688524590163</v>
      </c>
    </row>
    <row r="144" spans="1:37" ht="67.5" outlineLevel="2" x14ac:dyDescent="0.25">
      <c r="A144" s="262" t="s">
        <v>124</v>
      </c>
      <c r="B144" s="42" t="s">
        <v>1742</v>
      </c>
      <c r="C144" s="137" t="s">
        <v>321</v>
      </c>
      <c r="D144" s="272" t="s">
        <v>319</v>
      </c>
      <c r="E144" s="287">
        <v>22.8</v>
      </c>
      <c r="F144" s="287">
        <v>20.5</v>
      </c>
      <c r="G144" s="287">
        <v>22.1</v>
      </c>
      <c r="H144" s="286">
        <f t="shared" si="79"/>
        <v>1.0780487804878049</v>
      </c>
      <c r="I144" s="286">
        <f>G144/E144</f>
        <v>0.9692982456140351</v>
      </c>
      <c r="J144" s="167" t="s">
        <v>41</v>
      </c>
      <c r="K144" s="167" t="s">
        <v>41</v>
      </c>
      <c r="L144" s="39" t="s">
        <v>185</v>
      </c>
      <c r="M144" s="40">
        <v>1</v>
      </c>
      <c r="N144" s="41">
        <f t="shared" ref="N144:N157" si="80">IF(H144&gt;1,1,H144)</f>
        <v>1</v>
      </c>
      <c r="O144" s="41">
        <f t="shared" si="76"/>
        <v>0.9692982456140351</v>
      </c>
      <c r="AC144" s="67">
        <f t="shared" ref="AC144:AD212" si="81">H144</f>
        <v>1.0780487804878049</v>
      </c>
      <c r="AD144" s="67">
        <f t="shared" si="81"/>
        <v>0.9692982456140351</v>
      </c>
    </row>
    <row r="145" spans="1:37" ht="33.75" outlineLevel="2" x14ac:dyDescent="0.25">
      <c r="A145" s="262" t="s">
        <v>656</v>
      </c>
      <c r="B145" s="42" t="s">
        <v>1743</v>
      </c>
      <c r="C145" s="473" t="s">
        <v>321</v>
      </c>
      <c r="D145" s="272" t="s">
        <v>319</v>
      </c>
      <c r="E145" s="287">
        <v>49.2</v>
      </c>
      <c r="F145" s="287">
        <v>51.3</v>
      </c>
      <c r="G145" s="287">
        <v>58.2</v>
      </c>
      <c r="H145" s="286">
        <f t="shared" si="79"/>
        <v>1.1345029239766082</v>
      </c>
      <c r="I145" s="286">
        <f>G145/E145</f>
        <v>1.1829268292682926</v>
      </c>
      <c r="J145" s="167" t="s">
        <v>41</v>
      </c>
      <c r="K145" s="167" t="s">
        <v>41</v>
      </c>
      <c r="L145" s="39" t="s">
        <v>185</v>
      </c>
      <c r="M145" s="40">
        <v>1</v>
      </c>
      <c r="N145" s="41">
        <f t="shared" ref="N145:N146" si="82">IF(H145&gt;1,1,H145)</f>
        <v>1</v>
      </c>
      <c r="O145" s="41">
        <f t="shared" ref="O145" si="83">IF(I145&gt;1.25,1.25,I145)</f>
        <v>1.1829268292682926</v>
      </c>
      <c r="AC145" s="67">
        <f t="shared" si="81"/>
        <v>1.1345029239766082</v>
      </c>
      <c r="AD145" s="67">
        <f t="shared" si="81"/>
        <v>1.1829268292682926</v>
      </c>
    </row>
    <row r="146" spans="1:37" ht="78.75" outlineLevel="2" x14ac:dyDescent="0.25">
      <c r="A146" s="262" t="s">
        <v>1746</v>
      </c>
      <c r="B146" s="42" t="s">
        <v>1744</v>
      </c>
      <c r="C146" s="473" t="s">
        <v>321</v>
      </c>
      <c r="D146" s="272" t="s">
        <v>319</v>
      </c>
      <c r="E146" s="287" t="s">
        <v>41</v>
      </c>
      <c r="F146" s="287">
        <v>26</v>
      </c>
      <c r="G146" s="287">
        <v>26.1</v>
      </c>
      <c r="H146" s="286">
        <f t="shared" si="79"/>
        <v>1.0038461538461538</v>
      </c>
      <c r="I146" s="286" t="s">
        <v>41</v>
      </c>
      <c r="J146" s="167" t="s">
        <v>41</v>
      </c>
      <c r="K146" s="167" t="s">
        <v>41</v>
      </c>
      <c r="L146" s="39" t="s">
        <v>185</v>
      </c>
      <c r="M146" s="40">
        <v>1</v>
      </c>
      <c r="N146" s="41">
        <f t="shared" si="82"/>
        <v>1</v>
      </c>
      <c r="O146" s="41" t="s">
        <v>41</v>
      </c>
      <c r="AC146" s="67">
        <f t="shared" si="81"/>
        <v>1.0038461538461538</v>
      </c>
      <c r="AD146" s="67" t="str">
        <f t="shared" si="81"/>
        <v>-</v>
      </c>
    </row>
    <row r="147" spans="1:37" ht="45" outlineLevel="2" x14ac:dyDescent="0.25">
      <c r="A147" s="262" t="s">
        <v>1747</v>
      </c>
      <c r="B147" s="42" t="s">
        <v>1745</v>
      </c>
      <c r="C147" s="137" t="s">
        <v>321</v>
      </c>
      <c r="D147" s="272" t="s">
        <v>319</v>
      </c>
      <c r="E147" s="287" t="s">
        <v>41</v>
      </c>
      <c r="F147" s="287">
        <v>44.2</v>
      </c>
      <c r="G147" s="287">
        <v>47.6</v>
      </c>
      <c r="H147" s="286">
        <f t="shared" si="79"/>
        <v>1.0769230769230769</v>
      </c>
      <c r="I147" s="286" t="s">
        <v>41</v>
      </c>
      <c r="J147" s="167" t="s">
        <v>41</v>
      </c>
      <c r="K147" s="167" t="s">
        <v>41</v>
      </c>
      <c r="L147" s="39" t="s">
        <v>185</v>
      </c>
      <c r="M147" s="40">
        <v>1</v>
      </c>
      <c r="N147" s="41">
        <f t="shared" si="80"/>
        <v>1</v>
      </c>
      <c r="O147" s="41" t="s">
        <v>41</v>
      </c>
      <c r="AC147" s="67">
        <f t="shared" si="81"/>
        <v>1.0769230769230769</v>
      </c>
      <c r="AD147" s="67" t="str">
        <f t="shared" si="81"/>
        <v>-</v>
      </c>
    </row>
    <row r="148" spans="1:37" s="47" customFormat="1" ht="30.75" customHeight="1" outlineLevel="1" x14ac:dyDescent="0.25">
      <c r="A148" s="68" t="s">
        <v>125</v>
      </c>
      <c r="B148" s="571" t="s">
        <v>909</v>
      </c>
      <c r="C148" s="571"/>
      <c r="D148" s="571"/>
      <c r="E148" s="571"/>
      <c r="F148" s="571"/>
      <c r="G148" s="571"/>
      <c r="H148" s="69">
        <f>AVERAGE(N149:N152)</f>
        <v>0.74299473558267537</v>
      </c>
      <c r="I148" s="69">
        <f>AVERAGE(O149:O152)</f>
        <v>0.7665466277375298</v>
      </c>
      <c r="J148" s="70"/>
      <c r="K148" s="70"/>
      <c r="L148" s="71"/>
      <c r="M148" s="64"/>
      <c r="N148" s="41"/>
      <c r="O148" s="41"/>
      <c r="P148" s="49"/>
      <c r="Q148" s="49"/>
      <c r="R148" s="104">
        <f>COUNTA(C149:C152)</f>
        <v>4</v>
      </c>
      <c r="S148" s="103">
        <v>0</v>
      </c>
      <c r="T148" s="104">
        <f>COUNTIFS(AC149:AC152,"&gt;1,50")</f>
        <v>0</v>
      </c>
      <c r="U148" s="104">
        <f>COUNTIFS(AC149:AC152,"&gt;=0,995",AC149:AC152,"&lt;=1,5")</f>
        <v>2</v>
      </c>
      <c r="V148" s="104">
        <f>COUNTIFS(AC149:AC152,"&gt;=0,85",AC149:AC152,"&lt;0,995")</f>
        <v>0</v>
      </c>
      <c r="W148" s="104">
        <f>COUNTIFS(AC149:AC152,"&lt;0,85")</f>
        <v>2</v>
      </c>
      <c r="X148" s="52"/>
      <c r="Z148" s="96">
        <f>COUNTIFS(AD149:AD152,"&gt;=1,01")</f>
        <v>1</v>
      </c>
      <c r="AA148" s="96">
        <f>COUNTIFS(AD149:AD152,"&gt;=0,99",AD149:AD152,"&lt;1,01")</f>
        <v>0</v>
      </c>
      <c r="AB148" s="97">
        <f>COUNTIFS(AD149:AD152,"&lt;0,99")</f>
        <v>2</v>
      </c>
      <c r="AC148" s="67"/>
      <c r="AD148" s="67"/>
      <c r="AK148" s="47">
        <f>SUM(T148:X148)-R148</f>
        <v>0</v>
      </c>
    </row>
    <row r="149" spans="1:37" ht="33.75" outlineLevel="2" x14ac:dyDescent="0.25">
      <c r="A149" s="262" t="s">
        <v>126</v>
      </c>
      <c r="B149" s="42" t="s">
        <v>910</v>
      </c>
      <c r="C149" s="167" t="s">
        <v>327</v>
      </c>
      <c r="D149" s="272" t="s">
        <v>319</v>
      </c>
      <c r="E149" s="287">
        <v>85</v>
      </c>
      <c r="F149" s="287">
        <v>82</v>
      </c>
      <c r="G149" s="287">
        <v>92</v>
      </c>
      <c r="H149" s="286">
        <f t="shared" ref="H149:H152" si="84">G149/F149</f>
        <v>1.1219512195121952</v>
      </c>
      <c r="I149" s="286">
        <f t="shared" ref="I149:I152" si="85">G149/E149</f>
        <v>1.0823529411764705</v>
      </c>
      <c r="J149" s="473" t="s">
        <v>1200</v>
      </c>
      <c r="K149" s="473" t="s">
        <v>2060</v>
      </c>
      <c r="L149" s="39" t="s">
        <v>185</v>
      </c>
      <c r="M149" s="40">
        <v>1</v>
      </c>
      <c r="N149" s="41">
        <f t="shared" si="80"/>
        <v>1</v>
      </c>
      <c r="O149" s="41">
        <f t="shared" si="76"/>
        <v>1.0823529411764705</v>
      </c>
      <c r="AC149" s="67">
        <f t="shared" si="81"/>
        <v>1.1219512195121952</v>
      </c>
      <c r="AD149" s="67">
        <f t="shared" si="81"/>
        <v>1.0823529411764705</v>
      </c>
    </row>
    <row r="150" spans="1:37" ht="78.75" outlineLevel="2" x14ac:dyDescent="0.25">
      <c r="A150" s="262" t="s">
        <v>127</v>
      </c>
      <c r="B150" s="140" t="s">
        <v>402</v>
      </c>
      <c r="C150" s="167" t="s">
        <v>321</v>
      </c>
      <c r="D150" s="167" t="s">
        <v>339</v>
      </c>
      <c r="E150" s="287">
        <v>100</v>
      </c>
      <c r="F150" s="287">
        <v>100</v>
      </c>
      <c r="G150" s="287">
        <v>100</v>
      </c>
      <c r="H150" s="286">
        <f t="shared" si="84"/>
        <v>1</v>
      </c>
      <c r="I150" s="286">
        <f t="shared" si="85"/>
        <v>1</v>
      </c>
      <c r="J150" s="473"/>
      <c r="K150" s="473"/>
      <c r="L150" s="39" t="s">
        <v>185</v>
      </c>
      <c r="M150" s="40">
        <v>0</v>
      </c>
      <c r="N150" s="41">
        <f t="shared" si="80"/>
        <v>1</v>
      </c>
      <c r="O150" s="41" t="s">
        <v>41</v>
      </c>
      <c r="AC150" s="67">
        <f t="shared" si="81"/>
        <v>1</v>
      </c>
      <c r="AD150" s="67"/>
    </row>
    <row r="151" spans="1:37" ht="42" customHeight="1" outlineLevel="2" x14ac:dyDescent="0.25">
      <c r="A151" s="262" t="s">
        <v>400</v>
      </c>
      <c r="B151" s="155" t="s">
        <v>1201</v>
      </c>
      <c r="C151" s="167" t="s">
        <v>321</v>
      </c>
      <c r="D151" s="272" t="s">
        <v>319</v>
      </c>
      <c r="E151" s="287">
        <v>30.5</v>
      </c>
      <c r="F151" s="287">
        <v>39.799999999999997</v>
      </c>
      <c r="G151" s="287">
        <v>16.7</v>
      </c>
      <c r="H151" s="286">
        <f t="shared" si="84"/>
        <v>0.41959798994974873</v>
      </c>
      <c r="I151" s="286">
        <f t="shared" si="85"/>
        <v>0.54754098360655734</v>
      </c>
      <c r="J151" s="473" t="s">
        <v>1748</v>
      </c>
      <c r="K151" s="473" t="s">
        <v>1749</v>
      </c>
      <c r="L151" s="39" t="s">
        <v>185</v>
      </c>
      <c r="M151" s="40">
        <v>1</v>
      </c>
      <c r="N151" s="41">
        <f t="shared" si="80"/>
        <v>0.41959798994974873</v>
      </c>
      <c r="O151" s="41">
        <f t="shared" si="76"/>
        <v>0.54754098360655734</v>
      </c>
      <c r="AC151" s="67">
        <f t="shared" si="81"/>
        <v>0.41959798994974873</v>
      </c>
      <c r="AD151" s="67">
        <f t="shared" si="81"/>
        <v>0.54754098360655734</v>
      </c>
    </row>
    <row r="152" spans="1:37" ht="74.25" customHeight="1" outlineLevel="2" x14ac:dyDescent="0.25">
      <c r="A152" s="262" t="s">
        <v>401</v>
      </c>
      <c r="B152" s="155" t="s">
        <v>911</v>
      </c>
      <c r="C152" s="167" t="s">
        <v>321</v>
      </c>
      <c r="D152" s="272" t="s">
        <v>319</v>
      </c>
      <c r="E152" s="287">
        <v>43.3</v>
      </c>
      <c r="F152" s="287">
        <v>52.5</v>
      </c>
      <c r="G152" s="287">
        <v>29</v>
      </c>
      <c r="H152" s="286">
        <f t="shared" si="84"/>
        <v>0.55238095238095242</v>
      </c>
      <c r="I152" s="286">
        <f t="shared" si="85"/>
        <v>0.66974595842956119</v>
      </c>
      <c r="J152" s="473" t="s">
        <v>1750</v>
      </c>
      <c r="K152" s="473" t="s">
        <v>1749</v>
      </c>
      <c r="L152" s="39" t="s">
        <v>185</v>
      </c>
      <c r="M152" s="40">
        <v>1</v>
      </c>
      <c r="N152" s="41">
        <f t="shared" si="80"/>
        <v>0.55238095238095242</v>
      </c>
      <c r="O152" s="41">
        <f t="shared" si="76"/>
        <v>0.66974595842956119</v>
      </c>
      <c r="AC152" s="67">
        <f t="shared" si="81"/>
        <v>0.55238095238095242</v>
      </c>
      <c r="AD152" s="67">
        <f t="shared" si="81"/>
        <v>0.66974595842956119</v>
      </c>
    </row>
    <row r="153" spans="1:37" s="47" customFormat="1" outlineLevel="1" x14ac:dyDescent="0.25">
      <c r="A153" s="68" t="s">
        <v>128</v>
      </c>
      <c r="B153" s="571" t="s">
        <v>403</v>
      </c>
      <c r="C153" s="571"/>
      <c r="D153" s="571"/>
      <c r="E153" s="571"/>
      <c r="F153" s="571"/>
      <c r="G153" s="571"/>
      <c r="H153" s="69">
        <f>AVERAGE(N154:N157)</f>
        <v>1</v>
      </c>
      <c r="I153" s="69">
        <f>AVERAGE(O154:O157)</f>
        <v>1.049879254889502</v>
      </c>
      <c r="J153" s="70"/>
      <c r="K153" s="70"/>
      <c r="L153" s="71"/>
      <c r="M153" s="64"/>
      <c r="N153" s="41"/>
      <c r="O153" s="41"/>
      <c r="P153" s="49"/>
      <c r="Q153" s="49"/>
      <c r="R153" s="104">
        <f>COUNTA(C154:C157)</f>
        <v>4</v>
      </c>
      <c r="S153" s="103">
        <v>0</v>
      </c>
      <c r="T153" s="104">
        <f>COUNTIFS(AC154:AC157,"&gt;1,50")</f>
        <v>0</v>
      </c>
      <c r="U153" s="104">
        <f>COUNTIFS(AC154:AC157,"&gt;=0,995",AC154:AC157,"&lt;=1,5")</f>
        <v>4</v>
      </c>
      <c r="V153" s="104">
        <f>COUNTIFS(AC154:AC157,"&gt;=0,85",AC154:AC157,"&lt;0,995")</f>
        <v>0</v>
      </c>
      <c r="W153" s="104">
        <f>COUNTIFS(AC154:AC157,"&lt;0,85")</f>
        <v>0</v>
      </c>
      <c r="X153" s="52"/>
      <c r="Z153" s="96">
        <f>COUNTIFS(AD154:AD157,"&gt;=1,01")</f>
        <v>2</v>
      </c>
      <c r="AA153" s="96">
        <f>COUNTIFS(AD154:AD157,"&gt;=0,99",AD154:AD157,"&lt;1,01")</f>
        <v>0</v>
      </c>
      <c r="AB153" s="97">
        <f>COUNTIFS(AD154:AD157,"&lt;0,99")</f>
        <v>1</v>
      </c>
      <c r="AC153" s="67"/>
      <c r="AD153" s="67"/>
      <c r="AK153" s="47">
        <f>SUM(T153:X153)-R153</f>
        <v>0</v>
      </c>
    </row>
    <row r="154" spans="1:37" ht="33.75" outlineLevel="2" x14ac:dyDescent="0.25">
      <c r="A154" s="262" t="s">
        <v>129</v>
      </c>
      <c r="B154" s="168" t="s">
        <v>404</v>
      </c>
      <c r="C154" s="167" t="s">
        <v>321</v>
      </c>
      <c r="D154" s="272" t="s">
        <v>319</v>
      </c>
      <c r="E154" s="287">
        <v>49.7</v>
      </c>
      <c r="F154" s="287">
        <v>55</v>
      </c>
      <c r="G154" s="287">
        <v>59.5</v>
      </c>
      <c r="H154" s="286">
        <f>G154/F154</f>
        <v>1.0818181818181818</v>
      </c>
      <c r="I154" s="286">
        <f>G154/E154</f>
        <v>1.1971830985915493</v>
      </c>
      <c r="J154" s="167" t="s">
        <v>41</v>
      </c>
      <c r="K154" s="167" t="s">
        <v>41</v>
      </c>
      <c r="L154" s="39" t="s">
        <v>185</v>
      </c>
      <c r="M154" s="40">
        <v>1</v>
      </c>
      <c r="N154" s="41">
        <f t="shared" si="80"/>
        <v>1</v>
      </c>
      <c r="O154" s="41">
        <f t="shared" si="76"/>
        <v>1.1971830985915493</v>
      </c>
      <c r="AC154" s="67">
        <f t="shared" si="81"/>
        <v>1.0818181818181818</v>
      </c>
      <c r="AD154" s="67">
        <f t="shared" si="81"/>
        <v>1.1971830985915493</v>
      </c>
    </row>
    <row r="155" spans="1:37" ht="33.75" outlineLevel="2" x14ac:dyDescent="0.25">
      <c r="A155" s="262" t="s">
        <v>130</v>
      </c>
      <c r="B155" s="168" t="s">
        <v>408</v>
      </c>
      <c r="C155" s="137" t="s">
        <v>343</v>
      </c>
      <c r="D155" s="272" t="s">
        <v>319</v>
      </c>
      <c r="E155" s="287">
        <v>57</v>
      </c>
      <c r="F155" s="287">
        <v>56</v>
      </c>
      <c r="G155" s="287">
        <v>59</v>
      </c>
      <c r="H155" s="286">
        <f>G155/F155</f>
        <v>1.0535714285714286</v>
      </c>
      <c r="I155" s="286">
        <f>G155/E155</f>
        <v>1.0350877192982457</v>
      </c>
      <c r="J155" s="180" t="s">
        <v>41</v>
      </c>
      <c r="K155" s="167" t="s">
        <v>41</v>
      </c>
      <c r="L155" s="39" t="s">
        <v>185</v>
      </c>
      <c r="M155" s="40">
        <v>1</v>
      </c>
      <c r="N155" s="41">
        <f t="shared" si="80"/>
        <v>1</v>
      </c>
      <c r="O155" s="41">
        <f t="shared" si="76"/>
        <v>1.0350877192982457</v>
      </c>
      <c r="AC155" s="67">
        <f t="shared" si="81"/>
        <v>1.0535714285714286</v>
      </c>
      <c r="AD155" s="67">
        <f t="shared" si="81"/>
        <v>1.0350877192982457</v>
      </c>
    </row>
    <row r="156" spans="1:37" ht="22.5" outlineLevel="2" x14ac:dyDescent="0.25">
      <c r="A156" s="262" t="s">
        <v>131</v>
      </c>
      <c r="B156" s="168" t="s">
        <v>405</v>
      </c>
      <c r="C156" s="167" t="s">
        <v>321</v>
      </c>
      <c r="D156" s="272" t="s">
        <v>319</v>
      </c>
      <c r="E156" s="287">
        <v>71.400000000000006</v>
      </c>
      <c r="F156" s="287">
        <v>61</v>
      </c>
      <c r="G156" s="287">
        <v>65.5</v>
      </c>
      <c r="H156" s="286">
        <f>G156/F156</f>
        <v>1.0737704918032787</v>
      </c>
      <c r="I156" s="286">
        <f>G156/E156</f>
        <v>0.91736694677871145</v>
      </c>
      <c r="J156" s="167" t="s">
        <v>41</v>
      </c>
      <c r="K156" s="167" t="s">
        <v>41</v>
      </c>
      <c r="L156" s="39" t="s">
        <v>185</v>
      </c>
      <c r="M156" s="40">
        <v>1</v>
      </c>
      <c r="N156" s="41">
        <f t="shared" si="80"/>
        <v>1</v>
      </c>
      <c r="O156" s="41">
        <f t="shared" si="76"/>
        <v>0.91736694677871145</v>
      </c>
      <c r="AC156" s="67">
        <f t="shared" si="81"/>
        <v>1.0737704918032787</v>
      </c>
      <c r="AD156" s="67">
        <f t="shared" si="81"/>
        <v>0.91736694677871145</v>
      </c>
    </row>
    <row r="157" spans="1:37" ht="33.75" outlineLevel="2" x14ac:dyDescent="0.25">
      <c r="A157" s="262" t="s">
        <v>407</v>
      </c>
      <c r="B157" s="42" t="s">
        <v>406</v>
      </c>
      <c r="C157" s="137" t="s">
        <v>327</v>
      </c>
      <c r="D157" s="167" t="s">
        <v>339</v>
      </c>
      <c r="E157" s="287">
        <v>2125</v>
      </c>
      <c r="F157" s="287">
        <v>2002</v>
      </c>
      <c r="G157" s="287">
        <v>2174</v>
      </c>
      <c r="H157" s="286">
        <f>G157/F157</f>
        <v>1.0859140859140859</v>
      </c>
      <c r="I157" s="286">
        <f>G157/E157</f>
        <v>1.0230588235294118</v>
      </c>
      <c r="J157" s="137" t="s">
        <v>41</v>
      </c>
      <c r="K157" s="137" t="s">
        <v>41</v>
      </c>
      <c r="L157" s="39" t="s">
        <v>185</v>
      </c>
      <c r="M157" s="40">
        <v>0</v>
      </c>
      <c r="N157" s="41">
        <f t="shared" si="80"/>
        <v>1</v>
      </c>
      <c r="O157" s="41" t="s">
        <v>41</v>
      </c>
      <c r="AC157" s="67">
        <f t="shared" si="81"/>
        <v>1.0859140859140859</v>
      </c>
      <c r="AD157" s="67"/>
    </row>
    <row r="158" spans="1:37" s="47" customFormat="1" ht="18" customHeight="1" x14ac:dyDescent="0.25">
      <c r="A158" s="493">
        <v>5</v>
      </c>
      <c r="B158" s="577" t="s">
        <v>768</v>
      </c>
      <c r="C158" s="577"/>
      <c r="D158" s="577"/>
      <c r="E158" s="577"/>
      <c r="F158" s="577"/>
      <c r="G158" s="577"/>
      <c r="H158" s="494">
        <f>AVERAGE(N159:N165,N167:N171,N173:N175,N177:N183)</f>
        <v>0.99314618644067787</v>
      </c>
      <c r="I158" s="494">
        <f>AVERAGE(O159:O165,O167:O171,O173:O174,O175:O175,O177:O183)</f>
        <v>0.94137846060645225</v>
      </c>
      <c r="J158" s="495"/>
      <c r="K158" s="495"/>
      <c r="L158" s="496"/>
      <c r="M158" s="64"/>
      <c r="N158" s="212"/>
      <c r="O158" s="212"/>
      <c r="P158" s="49"/>
      <c r="Q158" s="49"/>
      <c r="R158" s="110">
        <f>COUNTA(C159:C183)</f>
        <v>22</v>
      </c>
      <c r="S158" s="102">
        <v>6</v>
      </c>
      <c r="T158" s="110">
        <f>COUNTIFS(AC159:AC183,"&gt;1,50")</f>
        <v>1</v>
      </c>
      <c r="U158" s="110">
        <f>COUNTIFS(AC159:AC183,"&gt;=0,995",AC159:AC183,"&lt;=1,5")</f>
        <v>13</v>
      </c>
      <c r="V158" s="110">
        <f>COUNTIFS(AC159:AC183,"&gt;=0,85",AC159:AC183,"&lt;0,995")</f>
        <v>2</v>
      </c>
      <c r="W158" s="110">
        <f>COUNTIFS(AC159:AC183,"&lt;0,85")</f>
        <v>0</v>
      </c>
      <c r="X158" s="49"/>
      <c r="Z158" s="100">
        <f>COUNTIFS(AD159:AD183,"&gt;=1,01")</f>
        <v>6</v>
      </c>
      <c r="AA158" s="100">
        <f>COUNTIFS(AD159:AD183,"&gt;=0,99",AD159:AD183,"&lt;1,01")</f>
        <v>0</v>
      </c>
      <c r="AB158" s="101">
        <f>COUNTIFS(AD159:AD183,"&lt;0,99")</f>
        <v>4</v>
      </c>
      <c r="AC158" s="67"/>
      <c r="AD158" s="67"/>
      <c r="AK158" s="47">
        <f>SUM(T158:X158)-R158</f>
        <v>-6</v>
      </c>
    </row>
    <row r="159" spans="1:37" ht="45" outlineLevel="2" x14ac:dyDescent="0.25">
      <c r="A159" s="262" t="s">
        <v>410</v>
      </c>
      <c r="B159" s="155" t="s">
        <v>770</v>
      </c>
      <c r="C159" s="154" t="s">
        <v>771</v>
      </c>
      <c r="D159" s="272" t="s">
        <v>319</v>
      </c>
      <c r="E159" s="154" t="s">
        <v>41</v>
      </c>
      <c r="F159" s="154">
        <v>4.32</v>
      </c>
      <c r="G159" s="154" t="s">
        <v>41</v>
      </c>
      <c r="H159" s="286" t="s">
        <v>41</v>
      </c>
      <c r="I159" s="286" t="s">
        <v>41</v>
      </c>
      <c r="J159" s="86" t="s">
        <v>2061</v>
      </c>
      <c r="K159" s="86" t="s">
        <v>2062</v>
      </c>
      <c r="L159" s="39" t="s">
        <v>184</v>
      </c>
      <c r="M159" s="40">
        <v>1</v>
      </c>
      <c r="N159" s="41" t="s">
        <v>41</v>
      </c>
      <c r="O159" s="41" t="s">
        <v>41</v>
      </c>
      <c r="T159" s="103" t="s">
        <v>1574</v>
      </c>
      <c r="AC159" s="67" t="str">
        <f t="shared" si="81"/>
        <v>-</v>
      </c>
      <c r="AD159" s="67" t="str">
        <f t="shared" si="81"/>
        <v>-</v>
      </c>
    </row>
    <row r="160" spans="1:37" ht="33.75" outlineLevel="2" x14ac:dyDescent="0.25">
      <c r="A160" s="262" t="s">
        <v>1549</v>
      </c>
      <c r="B160" s="155" t="s">
        <v>1543</v>
      </c>
      <c r="C160" s="154" t="s">
        <v>1555</v>
      </c>
      <c r="D160" s="272" t="s">
        <v>319</v>
      </c>
      <c r="E160" s="154" t="s">
        <v>41</v>
      </c>
      <c r="F160" s="154">
        <v>10.31</v>
      </c>
      <c r="G160" s="154">
        <v>13.3</v>
      </c>
      <c r="H160" s="286">
        <f t="shared" ref="H160:H165" si="86">G160/F160</f>
        <v>1.2900096993210475</v>
      </c>
      <c r="I160" s="286" t="s">
        <v>41</v>
      </c>
      <c r="J160" s="86" t="s">
        <v>1556</v>
      </c>
      <c r="K160" s="86" t="s">
        <v>41</v>
      </c>
      <c r="L160" s="39" t="s">
        <v>184</v>
      </c>
      <c r="M160" s="40">
        <v>1</v>
      </c>
      <c r="N160" s="41">
        <f t="shared" ref="N160:N164" si="87">IF(H160&gt;1,1,H160)</f>
        <v>1</v>
      </c>
      <c r="O160" s="41" t="s">
        <v>41</v>
      </c>
      <c r="AC160" s="67">
        <f t="shared" si="81"/>
        <v>1.2900096993210475</v>
      </c>
      <c r="AD160" s="67"/>
    </row>
    <row r="161" spans="1:37" ht="33.75" outlineLevel="2" x14ac:dyDescent="0.25">
      <c r="A161" s="262" t="s">
        <v>1550</v>
      </c>
      <c r="B161" s="155" t="s">
        <v>1544</v>
      </c>
      <c r="C161" s="154" t="s">
        <v>769</v>
      </c>
      <c r="D161" s="272" t="s">
        <v>319</v>
      </c>
      <c r="E161" s="154" t="s">
        <v>41</v>
      </c>
      <c r="F161" s="154">
        <v>88</v>
      </c>
      <c r="G161" s="154">
        <v>88</v>
      </c>
      <c r="H161" s="286">
        <f t="shared" si="86"/>
        <v>1</v>
      </c>
      <c r="I161" s="286" t="s">
        <v>41</v>
      </c>
      <c r="J161" s="86" t="s">
        <v>1557</v>
      </c>
      <c r="K161" s="86" t="s">
        <v>41</v>
      </c>
      <c r="L161" s="39" t="s">
        <v>184</v>
      </c>
      <c r="M161" s="40">
        <v>1</v>
      </c>
      <c r="N161" s="41" t="s">
        <v>41</v>
      </c>
      <c r="O161" s="41" t="s">
        <v>41</v>
      </c>
      <c r="AC161" s="67" t="s">
        <v>41</v>
      </c>
      <c r="AD161" s="67"/>
    </row>
    <row r="162" spans="1:37" ht="56.25" outlineLevel="2" x14ac:dyDescent="0.25">
      <c r="A162" s="262" t="s">
        <v>1551</v>
      </c>
      <c r="B162" s="155" t="s">
        <v>1545</v>
      </c>
      <c r="C162" s="154" t="s">
        <v>769</v>
      </c>
      <c r="D162" s="272" t="s">
        <v>319</v>
      </c>
      <c r="E162" s="154" t="s">
        <v>41</v>
      </c>
      <c r="F162" s="154">
        <v>84.3</v>
      </c>
      <c r="G162" s="154">
        <v>84.3</v>
      </c>
      <c r="H162" s="286">
        <f t="shared" si="86"/>
        <v>1</v>
      </c>
      <c r="I162" s="286" t="s">
        <v>41</v>
      </c>
      <c r="J162" s="86" t="s">
        <v>1558</v>
      </c>
      <c r="K162" s="86" t="s">
        <v>41</v>
      </c>
      <c r="L162" s="39" t="s">
        <v>184</v>
      </c>
      <c r="M162" s="40">
        <v>1</v>
      </c>
      <c r="N162" s="41" t="s">
        <v>41</v>
      </c>
      <c r="O162" s="41" t="s">
        <v>41</v>
      </c>
      <c r="AC162" s="67" t="s">
        <v>41</v>
      </c>
      <c r="AD162" s="67"/>
    </row>
    <row r="163" spans="1:37" ht="33.75" outlineLevel="2" x14ac:dyDescent="0.25">
      <c r="A163" s="262" t="s">
        <v>1552</v>
      </c>
      <c r="B163" s="155" t="s">
        <v>1546</v>
      </c>
      <c r="C163" s="154" t="s">
        <v>365</v>
      </c>
      <c r="D163" s="272" t="s">
        <v>319</v>
      </c>
      <c r="E163" s="154">
        <v>10</v>
      </c>
      <c r="F163" s="154">
        <v>11</v>
      </c>
      <c r="G163" s="154">
        <v>11</v>
      </c>
      <c r="H163" s="286">
        <f t="shared" si="86"/>
        <v>1</v>
      </c>
      <c r="I163" s="286">
        <f>G163/E163</f>
        <v>1.1000000000000001</v>
      </c>
      <c r="J163" s="86" t="s">
        <v>41</v>
      </c>
      <c r="K163" s="86" t="s">
        <v>41</v>
      </c>
      <c r="L163" s="39" t="s">
        <v>184</v>
      </c>
      <c r="M163" s="40">
        <v>1</v>
      </c>
      <c r="N163" s="41">
        <f t="shared" si="87"/>
        <v>1</v>
      </c>
      <c r="O163" s="41" t="s">
        <v>41</v>
      </c>
      <c r="AC163" s="67">
        <f t="shared" si="81"/>
        <v>1</v>
      </c>
      <c r="AD163" s="67"/>
    </row>
    <row r="164" spans="1:37" ht="22.5" outlineLevel="2" x14ac:dyDescent="0.25">
      <c r="A164" s="262" t="s">
        <v>1553</v>
      </c>
      <c r="B164" s="155" t="s">
        <v>1547</v>
      </c>
      <c r="C164" s="154" t="s">
        <v>365</v>
      </c>
      <c r="D164" s="272" t="s">
        <v>319</v>
      </c>
      <c r="E164" s="154">
        <v>30</v>
      </c>
      <c r="F164" s="154">
        <v>46</v>
      </c>
      <c r="G164" s="154">
        <v>46</v>
      </c>
      <c r="H164" s="286">
        <f t="shared" si="86"/>
        <v>1</v>
      </c>
      <c r="I164" s="286">
        <f>G164/E164</f>
        <v>1.5333333333333334</v>
      </c>
      <c r="J164" s="86" t="s">
        <v>41</v>
      </c>
      <c r="K164" s="86" t="s">
        <v>41</v>
      </c>
      <c r="L164" s="39" t="s">
        <v>184</v>
      </c>
      <c r="M164" s="40">
        <v>1</v>
      </c>
      <c r="N164" s="41">
        <f t="shared" si="87"/>
        <v>1</v>
      </c>
      <c r="O164" s="41" t="s">
        <v>41</v>
      </c>
      <c r="AC164" s="67">
        <f t="shared" si="81"/>
        <v>1</v>
      </c>
      <c r="AD164" s="67"/>
    </row>
    <row r="165" spans="1:37" ht="90" outlineLevel="2" x14ac:dyDescent="0.25">
      <c r="A165" s="262" t="s">
        <v>1554</v>
      </c>
      <c r="B165" s="155" t="s">
        <v>1548</v>
      </c>
      <c r="C165" s="154" t="s">
        <v>769</v>
      </c>
      <c r="D165" s="272" t="s">
        <v>319</v>
      </c>
      <c r="E165" s="154" t="s">
        <v>41</v>
      </c>
      <c r="F165" s="154">
        <v>100</v>
      </c>
      <c r="G165" s="154">
        <v>97.5</v>
      </c>
      <c r="H165" s="286">
        <f t="shared" si="86"/>
        <v>0.97499999999999998</v>
      </c>
      <c r="I165" s="286" t="s">
        <v>41</v>
      </c>
      <c r="J165" s="86" t="s">
        <v>1559</v>
      </c>
      <c r="K165" s="86" t="s">
        <v>41</v>
      </c>
      <c r="L165" s="39" t="s">
        <v>184</v>
      </c>
      <c r="M165" s="40">
        <v>1</v>
      </c>
      <c r="N165" s="41" t="s">
        <v>41</v>
      </c>
      <c r="O165" s="41" t="s">
        <v>41</v>
      </c>
      <c r="AC165" s="67"/>
      <c r="AD165" s="67"/>
    </row>
    <row r="166" spans="1:37" s="47" customFormat="1" outlineLevel="1" x14ac:dyDescent="0.25">
      <c r="A166" s="68" t="s">
        <v>132</v>
      </c>
      <c r="B166" s="571" t="s">
        <v>411</v>
      </c>
      <c r="C166" s="571"/>
      <c r="D166" s="571"/>
      <c r="E166" s="571"/>
      <c r="F166" s="571"/>
      <c r="G166" s="571"/>
      <c r="H166" s="69">
        <f>AVERAGE(N167:N171)</f>
        <v>1</v>
      </c>
      <c r="I166" s="69">
        <f>AVERAGE(O167:O171)</f>
        <v>1.0154622034589156</v>
      </c>
      <c r="J166" s="70"/>
      <c r="K166" s="70"/>
      <c r="L166" s="71"/>
      <c r="M166" s="64"/>
      <c r="N166" s="212"/>
      <c r="O166" s="212"/>
      <c r="P166" s="49"/>
      <c r="Q166" s="49"/>
      <c r="R166" s="104">
        <f>COUNTA(C167:C171)</f>
        <v>5</v>
      </c>
      <c r="S166" s="103">
        <v>0</v>
      </c>
      <c r="T166" s="104">
        <f>COUNTIFS(AC167:AC171,"&gt;1,50")</f>
        <v>0</v>
      </c>
      <c r="U166" s="104">
        <f>COUNTIFS(AC167:AC171,"&gt;=0,995",AC167:AC171,"&lt;=1,5")</f>
        <v>5</v>
      </c>
      <c r="V166" s="104">
        <f>COUNTIFS(AC167:AC171,"&gt;=0,85",AC167:AC171,"&lt;0,995")</f>
        <v>0</v>
      </c>
      <c r="W166" s="104">
        <f>COUNTIFS(AC167:AC171,"&lt;0,85")</f>
        <v>0</v>
      </c>
      <c r="X166" s="52"/>
      <c r="Z166" s="96">
        <f>COUNTIFS(AD167:AD171,"&gt;=1,01")</f>
        <v>3</v>
      </c>
      <c r="AA166" s="96">
        <f>COUNTIFS(AD167:AD171,"&gt;=0,99",AD167:AD171,"&lt;1,01")</f>
        <v>0</v>
      </c>
      <c r="AB166" s="97">
        <f>COUNTIFS(AD167:AD171,"&lt;0,99")</f>
        <v>2</v>
      </c>
      <c r="AC166" s="67"/>
      <c r="AD166" s="67"/>
      <c r="AK166" s="47">
        <f>SUM(T166:X166)-R166</f>
        <v>0</v>
      </c>
    </row>
    <row r="167" spans="1:37" ht="69.75" customHeight="1" outlineLevel="2" x14ac:dyDescent="0.25">
      <c r="A167" s="262" t="s">
        <v>133</v>
      </c>
      <c r="B167" s="155" t="s">
        <v>772</v>
      </c>
      <c r="C167" s="154" t="s">
        <v>769</v>
      </c>
      <c r="D167" s="272" t="s">
        <v>319</v>
      </c>
      <c r="E167" s="154">
        <v>62.2</v>
      </c>
      <c r="F167" s="154">
        <v>59.8</v>
      </c>
      <c r="G167" s="154">
        <v>66</v>
      </c>
      <c r="H167" s="286">
        <f t="shared" ref="H167:H171" si="88">G167/F167</f>
        <v>1.1036789297658864</v>
      </c>
      <c r="I167" s="286">
        <f>G167/E167</f>
        <v>1.0610932475884245</v>
      </c>
      <c r="J167" s="86" t="s">
        <v>2063</v>
      </c>
      <c r="K167" s="86" t="s">
        <v>41</v>
      </c>
      <c r="L167" s="39" t="s">
        <v>184</v>
      </c>
      <c r="M167" s="40">
        <v>1</v>
      </c>
      <c r="N167" s="41">
        <f t="shared" ref="N167:N183" si="89">IF(H167&gt;1,1,H167)</f>
        <v>1</v>
      </c>
      <c r="O167" s="41">
        <f t="shared" ref="O167:O171" si="90">IF(I167&gt;1.25,1.25,I167)</f>
        <v>1.0610932475884245</v>
      </c>
      <c r="AC167" s="67">
        <f t="shared" si="81"/>
        <v>1.1036789297658864</v>
      </c>
      <c r="AD167" s="67">
        <f t="shared" si="81"/>
        <v>1.0610932475884245</v>
      </c>
    </row>
    <row r="168" spans="1:37" ht="45" outlineLevel="2" x14ac:dyDescent="0.25">
      <c r="A168" s="262" t="s">
        <v>134</v>
      </c>
      <c r="B168" s="156" t="s">
        <v>773</v>
      </c>
      <c r="C168" s="154" t="s">
        <v>769</v>
      </c>
      <c r="D168" s="272" t="s">
        <v>319</v>
      </c>
      <c r="E168" s="154">
        <v>34.700000000000003</v>
      </c>
      <c r="F168" s="154">
        <v>34.6</v>
      </c>
      <c r="G168" s="154">
        <v>39</v>
      </c>
      <c r="H168" s="286">
        <f t="shared" si="88"/>
        <v>1.1271676300578035</v>
      </c>
      <c r="I168" s="286">
        <f t="shared" ref="I168:I169" si="91">G168/E168</f>
        <v>1.1239193083573487</v>
      </c>
      <c r="J168" s="86" t="s">
        <v>1560</v>
      </c>
      <c r="K168" s="86" t="s">
        <v>41</v>
      </c>
      <c r="L168" s="39" t="s">
        <v>184</v>
      </c>
      <c r="M168" s="40">
        <v>1</v>
      </c>
      <c r="N168" s="41">
        <f t="shared" si="89"/>
        <v>1</v>
      </c>
      <c r="O168" s="41">
        <f t="shared" si="90"/>
        <v>1.1239193083573487</v>
      </c>
      <c r="AC168" s="67">
        <f t="shared" si="81"/>
        <v>1.1271676300578035</v>
      </c>
      <c r="AD168" s="67">
        <f t="shared" si="81"/>
        <v>1.1239193083573487</v>
      </c>
    </row>
    <row r="169" spans="1:37" ht="45" outlineLevel="2" x14ac:dyDescent="0.25">
      <c r="A169" s="262" t="s">
        <v>412</v>
      </c>
      <c r="B169" s="156" t="s">
        <v>774</v>
      </c>
      <c r="C169" s="154" t="s">
        <v>448</v>
      </c>
      <c r="D169" s="272" t="s">
        <v>319</v>
      </c>
      <c r="E169" s="154">
        <v>552</v>
      </c>
      <c r="F169" s="154">
        <v>545</v>
      </c>
      <c r="G169" s="154">
        <v>545</v>
      </c>
      <c r="H169" s="286">
        <f t="shared" si="88"/>
        <v>1</v>
      </c>
      <c r="I169" s="286">
        <f t="shared" si="91"/>
        <v>0.9873188405797102</v>
      </c>
      <c r="J169" s="86" t="s">
        <v>1561</v>
      </c>
      <c r="K169" s="86" t="s">
        <v>41</v>
      </c>
      <c r="L169" s="39" t="s">
        <v>184</v>
      </c>
      <c r="M169" s="40">
        <v>1</v>
      </c>
      <c r="N169" s="41">
        <f t="shared" si="89"/>
        <v>1</v>
      </c>
      <c r="O169" s="41">
        <f t="shared" si="90"/>
        <v>0.9873188405797102</v>
      </c>
      <c r="AC169" s="67">
        <f t="shared" si="81"/>
        <v>1</v>
      </c>
      <c r="AD169" s="67">
        <f t="shared" si="81"/>
        <v>0.9873188405797102</v>
      </c>
    </row>
    <row r="170" spans="1:37" ht="56.25" outlineLevel="2" x14ac:dyDescent="0.25">
      <c r="A170" s="262" t="s">
        <v>413</v>
      </c>
      <c r="B170" s="156" t="s">
        <v>775</v>
      </c>
      <c r="C170" s="154" t="s">
        <v>769</v>
      </c>
      <c r="D170" s="272" t="s">
        <v>319</v>
      </c>
      <c r="E170" s="154">
        <v>8.1</v>
      </c>
      <c r="F170" s="154">
        <v>8.3000000000000007</v>
      </c>
      <c r="G170" s="154">
        <v>8.4</v>
      </c>
      <c r="H170" s="286">
        <f t="shared" si="88"/>
        <v>1.0120481927710843</v>
      </c>
      <c r="I170" s="286">
        <f>G170/E170</f>
        <v>1.0370370370370372</v>
      </c>
      <c r="J170" s="86" t="s">
        <v>41</v>
      </c>
      <c r="K170" s="86" t="s">
        <v>41</v>
      </c>
      <c r="L170" s="39" t="s">
        <v>184</v>
      </c>
      <c r="M170" s="40">
        <v>1</v>
      </c>
      <c r="N170" s="41">
        <f t="shared" si="89"/>
        <v>1</v>
      </c>
      <c r="O170" s="41">
        <f t="shared" si="90"/>
        <v>1.0370370370370372</v>
      </c>
      <c r="AC170" s="67">
        <f t="shared" si="81"/>
        <v>1.0120481927710843</v>
      </c>
      <c r="AD170" s="67">
        <f t="shared" si="81"/>
        <v>1.0370370370370372</v>
      </c>
    </row>
    <row r="171" spans="1:37" ht="67.5" outlineLevel="2" x14ac:dyDescent="0.25">
      <c r="A171" s="262" t="s">
        <v>414</v>
      </c>
      <c r="B171" s="228" t="s">
        <v>776</v>
      </c>
      <c r="C171" s="154" t="s">
        <v>769</v>
      </c>
      <c r="D171" s="272" t="s">
        <v>319</v>
      </c>
      <c r="E171" s="154">
        <v>10.45</v>
      </c>
      <c r="F171" s="154">
        <v>6.4</v>
      </c>
      <c r="G171" s="154">
        <v>9.07</v>
      </c>
      <c r="H171" s="286">
        <f t="shared" si="88"/>
        <v>1.4171875</v>
      </c>
      <c r="I171" s="286">
        <f>G171/E171</f>
        <v>0.86794258373205746</v>
      </c>
      <c r="J171" s="86" t="s">
        <v>2064</v>
      </c>
      <c r="K171" s="86" t="s">
        <v>41</v>
      </c>
      <c r="L171" s="39" t="s">
        <v>184</v>
      </c>
      <c r="M171" s="40">
        <v>1</v>
      </c>
      <c r="N171" s="41">
        <f t="shared" si="89"/>
        <v>1</v>
      </c>
      <c r="O171" s="41">
        <f t="shared" si="90"/>
        <v>0.86794258373205746</v>
      </c>
      <c r="AC171" s="67">
        <f t="shared" si="81"/>
        <v>1.4171875</v>
      </c>
      <c r="AD171" s="67">
        <f t="shared" si="81"/>
        <v>0.86794258373205746</v>
      </c>
    </row>
    <row r="172" spans="1:37" s="47" customFormat="1" ht="27" customHeight="1" outlineLevel="1" x14ac:dyDescent="0.25">
      <c r="A172" s="68" t="s">
        <v>135</v>
      </c>
      <c r="B172" s="571" t="s">
        <v>777</v>
      </c>
      <c r="C172" s="571"/>
      <c r="D172" s="571"/>
      <c r="E172" s="571"/>
      <c r="F172" s="571"/>
      <c r="G172" s="571"/>
      <c r="H172" s="69">
        <f>AVERAGE(N173:N175)</f>
        <v>1</v>
      </c>
      <c r="I172" s="69">
        <f>AVERAGE(O173:O175)</f>
        <v>1.1611929029822576</v>
      </c>
      <c r="J172" s="70"/>
      <c r="K172" s="70"/>
      <c r="L172" s="71"/>
      <c r="M172" s="64"/>
      <c r="N172" s="41"/>
      <c r="O172" s="212"/>
      <c r="P172" s="49"/>
      <c r="Q172" s="49"/>
      <c r="R172" s="104">
        <f>COUNTA(C173:C175)</f>
        <v>3</v>
      </c>
      <c r="S172" s="103">
        <v>0</v>
      </c>
      <c r="T172" s="104">
        <f>COUNTIFS(AC173:AC175,"&gt;1,50")</f>
        <v>1</v>
      </c>
      <c r="U172" s="104">
        <f>COUNTIFS(AC173:AC175,"&gt;=0,995",AC173:AC175,"&lt;=1,5")</f>
        <v>2</v>
      </c>
      <c r="V172" s="104">
        <f>COUNTIFS(AC173:AC175,"&gt;=0,85",AC173:AC175,"&lt;0,995")</f>
        <v>0</v>
      </c>
      <c r="W172" s="104">
        <f>COUNTIFS(AC173:AC175,"&lt;0,85")</f>
        <v>0</v>
      </c>
      <c r="X172" s="52"/>
      <c r="Z172" s="96">
        <f>COUNTIFS(AD173:AD175,"&gt;=1,01")</f>
        <v>2</v>
      </c>
      <c r="AA172" s="96">
        <f>COUNTIFS(AD173:AD175,"&gt;=0,99",AD173:AD175,"&lt;1,01")</f>
        <v>0</v>
      </c>
      <c r="AB172" s="97">
        <f>COUNTIFS(AD173:AD175,"&lt;0,99")</f>
        <v>0</v>
      </c>
      <c r="AC172" s="67"/>
      <c r="AD172" s="67"/>
      <c r="AK172" s="47">
        <f>SUM(T172:X172)-R172</f>
        <v>0</v>
      </c>
    </row>
    <row r="173" spans="1:37" ht="56.25" outlineLevel="2" x14ac:dyDescent="0.25">
      <c r="A173" s="262" t="s">
        <v>136</v>
      </c>
      <c r="B173" s="156" t="s">
        <v>778</v>
      </c>
      <c r="C173" s="154" t="s">
        <v>769</v>
      </c>
      <c r="D173" s="272" t="s">
        <v>319</v>
      </c>
      <c r="E173" s="154">
        <v>70.64</v>
      </c>
      <c r="F173" s="154">
        <v>77</v>
      </c>
      <c r="G173" s="154">
        <v>81.64</v>
      </c>
      <c r="H173" s="286">
        <f t="shared" ref="H173:H175" si="92">G173/F173</f>
        <v>1.0602597402597402</v>
      </c>
      <c r="I173" s="286">
        <f>G173/E173</f>
        <v>1.1557191392978483</v>
      </c>
      <c r="J173" s="86" t="s">
        <v>2065</v>
      </c>
      <c r="K173" s="86" t="s">
        <v>41</v>
      </c>
      <c r="L173" s="39" t="s">
        <v>184</v>
      </c>
      <c r="M173" s="40">
        <v>1</v>
      </c>
      <c r="N173" s="41">
        <f t="shared" si="89"/>
        <v>1</v>
      </c>
      <c r="O173" s="41">
        <f t="shared" ref="O173:O180" si="93">IF(I173&gt;1.25,1.25,I173)</f>
        <v>1.1557191392978483</v>
      </c>
      <c r="AC173" s="67">
        <f t="shared" si="81"/>
        <v>1.0602597402597402</v>
      </c>
      <c r="AD173" s="67">
        <f t="shared" si="81"/>
        <v>1.1557191392978483</v>
      </c>
    </row>
    <row r="174" spans="1:37" ht="33.75" outlineLevel="2" x14ac:dyDescent="0.25">
      <c r="A174" s="262" t="s">
        <v>415</v>
      </c>
      <c r="B174" s="156" t="s">
        <v>779</v>
      </c>
      <c r="C174" s="154" t="s">
        <v>448</v>
      </c>
      <c r="D174" s="272" t="s">
        <v>319</v>
      </c>
      <c r="E174" s="154">
        <v>36</v>
      </c>
      <c r="F174" s="154">
        <v>35</v>
      </c>
      <c r="G174" s="154">
        <v>42</v>
      </c>
      <c r="H174" s="286">
        <f t="shared" si="92"/>
        <v>1.2</v>
      </c>
      <c r="I174" s="286">
        <f t="shared" ref="I174" si="94">G174/E174</f>
        <v>1.1666666666666667</v>
      </c>
      <c r="J174" s="86" t="s">
        <v>2066</v>
      </c>
      <c r="K174" s="86" t="s">
        <v>41</v>
      </c>
      <c r="L174" s="39" t="s">
        <v>184</v>
      </c>
      <c r="M174" s="40">
        <v>1</v>
      </c>
      <c r="N174" s="41">
        <f t="shared" si="89"/>
        <v>1</v>
      </c>
      <c r="O174" s="41">
        <f t="shared" si="93"/>
        <v>1.1666666666666667</v>
      </c>
      <c r="AC174" s="67">
        <f t="shared" si="81"/>
        <v>1.2</v>
      </c>
      <c r="AD174" s="67">
        <f t="shared" si="81"/>
        <v>1.1666666666666667</v>
      </c>
    </row>
    <row r="175" spans="1:37" ht="67.5" outlineLevel="2" x14ac:dyDescent="0.25">
      <c r="A175" s="262" t="s">
        <v>1562</v>
      </c>
      <c r="B175" s="156" t="s">
        <v>1563</v>
      </c>
      <c r="C175" s="457" t="s">
        <v>365</v>
      </c>
      <c r="D175" s="457" t="s">
        <v>339</v>
      </c>
      <c r="E175" s="154" t="s">
        <v>41</v>
      </c>
      <c r="F175" s="154">
        <v>4203</v>
      </c>
      <c r="G175" s="154">
        <v>107854</v>
      </c>
      <c r="H175" s="286">
        <f t="shared" si="92"/>
        <v>25.661194384963121</v>
      </c>
      <c r="I175" s="286" t="s">
        <v>41</v>
      </c>
      <c r="J175" s="86" t="s">
        <v>1564</v>
      </c>
      <c r="K175" s="86" t="s">
        <v>41</v>
      </c>
      <c r="L175" s="39" t="s">
        <v>184</v>
      </c>
      <c r="M175" s="40">
        <v>1</v>
      </c>
      <c r="N175" s="41">
        <f t="shared" si="89"/>
        <v>1</v>
      </c>
      <c r="O175" s="41" t="s">
        <v>41</v>
      </c>
      <c r="AC175" s="67">
        <f t="shared" si="81"/>
        <v>25.661194384963121</v>
      </c>
      <c r="AD175" s="67" t="str">
        <f t="shared" si="81"/>
        <v>-</v>
      </c>
    </row>
    <row r="176" spans="1:37" outlineLevel="2" x14ac:dyDescent="0.25">
      <c r="A176" s="68" t="s">
        <v>265</v>
      </c>
      <c r="B176" s="571" t="s">
        <v>780</v>
      </c>
      <c r="C176" s="571"/>
      <c r="D176" s="571"/>
      <c r="E176" s="571"/>
      <c r="F176" s="571"/>
      <c r="G176" s="571"/>
      <c r="H176" s="69">
        <f>AVERAGE(N177:N183)</f>
        <v>0.97806779661016952</v>
      </c>
      <c r="I176" s="69">
        <f>AVERAGE(O177:O183)</f>
        <v>0.67136259426847655</v>
      </c>
      <c r="J176" s="70"/>
      <c r="K176" s="70"/>
      <c r="L176" s="71"/>
      <c r="M176" s="64"/>
      <c r="N176" s="41"/>
      <c r="O176" s="41"/>
      <c r="R176" s="104">
        <f>COUNTA(C177:C183)</f>
        <v>7</v>
      </c>
      <c r="S176" s="103">
        <v>2</v>
      </c>
      <c r="T176" s="104">
        <f>COUNTIFS(AC177:AC183,"&gt;1,50")</f>
        <v>0</v>
      </c>
      <c r="U176" s="104">
        <f>COUNTIFS(AC177:AC183,"&gt;=0,995",AC177:AC183,"&lt;=1,5")</f>
        <v>3</v>
      </c>
      <c r="V176" s="104">
        <f>COUNTIFS(AC177:AC183,"&gt;=0,85",AC177:AC183,"&lt;0,995")</f>
        <v>2</v>
      </c>
      <c r="W176" s="104">
        <f>COUNTIFS(AC177:AC183,"&lt;0,85")</f>
        <v>0</v>
      </c>
      <c r="Y176" s="47"/>
      <c r="Z176" s="96">
        <f>COUNTIFS(AD177:AD183,"&gt;=1,01")</f>
        <v>1</v>
      </c>
      <c r="AA176" s="96">
        <f>COUNTIFS(AD177:AD183,"&gt;=0,99",AD177:AD183,"&lt;1,01")</f>
        <v>0</v>
      </c>
      <c r="AB176" s="97">
        <f>COUNTIFS(AD177:AD183,"&lt;0,99")</f>
        <v>2</v>
      </c>
      <c r="AC176" s="67"/>
      <c r="AD176" s="67"/>
    </row>
    <row r="177" spans="1:37" ht="56.25" outlineLevel="2" x14ac:dyDescent="0.25">
      <c r="A177" s="262" t="s">
        <v>685</v>
      </c>
      <c r="B177" s="156" t="s">
        <v>781</v>
      </c>
      <c r="C177" s="154" t="s">
        <v>769</v>
      </c>
      <c r="D177" s="272" t="s">
        <v>319</v>
      </c>
      <c r="E177" s="154">
        <v>41.7</v>
      </c>
      <c r="F177" s="154">
        <v>25</v>
      </c>
      <c r="G177" s="154">
        <v>26.1</v>
      </c>
      <c r="H177" s="286">
        <f t="shared" ref="H177:H179" si="95">G177/F177</f>
        <v>1.044</v>
      </c>
      <c r="I177" s="286">
        <f>G177/E177</f>
        <v>0.62589928057553956</v>
      </c>
      <c r="J177" s="86" t="s">
        <v>1569</v>
      </c>
      <c r="K177" s="86" t="s">
        <v>41</v>
      </c>
      <c r="L177" s="39" t="s">
        <v>184</v>
      </c>
      <c r="M177" s="40">
        <v>1</v>
      </c>
      <c r="N177" s="41" t="s">
        <v>41</v>
      </c>
      <c r="O177" s="41" t="s">
        <v>41</v>
      </c>
      <c r="AC177" s="67" t="s">
        <v>41</v>
      </c>
      <c r="AD177" s="67" t="s">
        <v>41</v>
      </c>
    </row>
    <row r="178" spans="1:37" ht="67.5" outlineLevel="2" x14ac:dyDescent="0.25">
      <c r="A178" s="262" t="s">
        <v>686</v>
      </c>
      <c r="B178" s="156" t="s">
        <v>782</v>
      </c>
      <c r="C178" s="154" t="s">
        <v>769</v>
      </c>
      <c r="D178" s="272" t="s">
        <v>319</v>
      </c>
      <c r="E178" s="154">
        <v>272</v>
      </c>
      <c r="F178" s="154">
        <v>118</v>
      </c>
      <c r="G178" s="154">
        <v>110.96</v>
      </c>
      <c r="H178" s="286">
        <f t="shared" si="95"/>
        <v>0.9403389830508474</v>
      </c>
      <c r="I178" s="286">
        <f t="shared" ref="I178:I181" si="96">G178/E178</f>
        <v>0.4079411764705882</v>
      </c>
      <c r="J178" s="86" t="s">
        <v>1570</v>
      </c>
      <c r="K178" s="86" t="s">
        <v>41</v>
      </c>
      <c r="L178" s="39" t="s">
        <v>184</v>
      </c>
      <c r="M178" s="40">
        <v>1</v>
      </c>
      <c r="N178" s="41">
        <f t="shared" si="89"/>
        <v>0.9403389830508474</v>
      </c>
      <c r="O178" s="41">
        <f t="shared" si="93"/>
        <v>0.4079411764705882</v>
      </c>
      <c r="AC178" s="67">
        <f t="shared" si="81"/>
        <v>0.9403389830508474</v>
      </c>
      <c r="AD178" s="67">
        <f t="shared" si="81"/>
        <v>0.4079411764705882</v>
      </c>
    </row>
    <row r="179" spans="1:37" ht="56.25" outlineLevel="2" x14ac:dyDescent="0.25">
      <c r="A179" s="262" t="s">
        <v>687</v>
      </c>
      <c r="B179" s="156" t="s">
        <v>783</v>
      </c>
      <c r="C179" s="154" t="s">
        <v>365</v>
      </c>
      <c r="D179" s="272" t="s">
        <v>319</v>
      </c>
      <c r="E179" s="154">
        <v>442</v>
      </c>
      <c r="F179" s="154">
        <v>463</v>
      </c>
      <c r="G179" s="154">
        <v>502</v>
      </c>
      <c r="H179" s="286">
        <f t="shared" si="95"/>
        <v>1.0842332613390928</v>
      </c>
      <c r="I179" s="286">
        <f t="shared" si="96"/>
        <v>1.1357466063348416</v>
      </c>
      <c r="J179" s="86" t="s">
        <v>1571</v>
      </c>
      <c r="K179" s="86" t="s">
        <v>41</v>
      </c>
      <c r="L179" s="39" t="s">
        <v>184</v>
      </c>
      <c r="M179" s="40">
        <v>1</v>
      </c>
      <c r="N179" s="41">
        <f t="shared" si="89"/>
        <v>1</v>
      </c>
      <c r="O179" s="41">
        <f t="shared" si="93"/>
        <v>1.1357466063348416</v>
      </c>
      <c r="AC179" s="67">
        <f t="shared" si="81"/>
        <v>1.0842332613390928</v>
      </c>
      <c r="AD179" s="67">
        <f t="shared" si="81"/>
        <v>1.1357466063348416</v>
      </c>
    </row>
    <row r="180" spans="1:37" ht="56.25" outlineLevel="2" x14ac:dyDescent="0.25">
      <c r="A180" s="262" t="s">
        <v>688</v>
      </c>
      <c r="B180" s="156" t="s">
        <v>784</v>
      </c>
      <c r="C180" s="154" t="s">
        <v>769</v>
      </c>
      <c r="D180" s="272" t="s">
        <v>319</v>
      </c>
      <c r="E180" s="154">
        <v>25</v>
      </c>
      <c r="F180" s="154">
        <v>0</v>
      </c>
      <c r="G180" s="154">
        <v>11.76</v>
      </c>
      <c r="H180" s="286" t="s">
        <v>41</v>
      </c>
      <c r="I180" s="286">
        <f t="shared" si="96"/>
        <v>0.47039999999999998</v>
      </c>
      <c r="J180" s="86" t="s">
        <v>1572</v>
      </c>
      <c r="K180" s="86"/>
      <c r="L180" s="39" t="s">
        <v>184</v>
      </c>
      <c r="M180" s="40">
        <v>1</v>
      </c>
      <c r="N180" s="41" t="s">
        <v>41</v>
      </c>
      <c r="O180" s="41">
        <f t="shared" si="93"/>
        <v>0.47039999999999998</v>
      </c>
      <c r="AC180" s="67" t="s">
        <v>41</v>
      </c>
      <c r="AD180" s="67">
        <f t="shared" si="81"/>
        <v>0.47039999999999998</v>
      </c>
    </row>
    <row r="181" spans="1:37" ht="56.25" outlineLevel="2" x14ac:dyDescent="0.25">
      <c r="A181" s="262" t="s">
        <v>795</v>
      </c>
      <c r="B181" s="156" t="s">
        <v>785</v>
      </c>
      <c r="C181" s="154" t="s">
        <v>448</v>
      </c>
      <c r="D181" s="289" t="s">
        <v>339</v>
      </c>
      <c r="E181" s="154">
        <v>19</v>
      </c>
      <c r="F181" s="154">
        <v>20</v>
      </c>
      <c r="G181" s="154">
        <v>19</v>
      </c>
      <c r="H181" s="286">
        <f t="shared" ref="H181:H183" si="97">G181/F181</f>
        <v>0.95</v>
      </c>
      <c r="I181" s="286">
        <f t="shared" si="96"/>
        <v>1</v>
      </c>
      <c r="J181" s="86" t="s">
        <v>1573</v>
      </c>
      <c r="K181" s="86" t="s">
        <v>41</v>
      </c>
      <c r="L181" s="39" t="s">
        <v>184</v>
      </c>
      <c r="M181" s="40">
        <v>0</v>
      </c>
      <c r="N181" s="41">
        <f t="shared" si="89"/>
        <v>0.95</v>
      </c>
      <c r="O181" s="41" t="s">
        <v>41</v>
      </c>
      <c r="AC181" s="67">
        <f t="shared" si="81"/>
        <v>0.95</v>
      </c>
      <c r="AD181" s="67" t="s">
        <v>41</v>
      </c>
    </row>
    <row r="182" spans="1:37" ht="72.75" customHeight="1" outlineLevel="2" x14ac:dyDescent="0.25">
      <c r="A182" s="262" t="s">
        <v>1565</v>
      </c>
      <c r="B182" s="156" t="s">
        <v>1567</v>
      </c>
      <c r="C182" s="154" t="s">
        <v>365</v>
      </c>
      <c r="D182" s="289" t="s">
        <v>339</v>
      </c>
      <c r="E182" s="154" t="s">
        <v>41</v>
      </c>
      <c r="F182" s="154">
        <v>1</v>
      </c>
      <c r="G182" s="154">
        <v>1</v>
      </c>
      <c r="H182" s="286">
        <f t="shared" si="97"/>
        <v>1</v>
      </c>
      <c r="I182" s="286" t="s">
        <v>41</v>
      </c>
      <c r="J182" s="86" t="s">
        <v>41</v>
      </c>
      <c r="K182" s="86" t="s">
        <v>41</v>
      </c>
      <c r="L182" s="39" t="s">
        <v>184</v>
      </c>
      <c r="M182" s="40">
        <v>0</v>
      </c>
      <c r="N182" s="41">
        <f t="shared" si="89"/>
        <v>1</v>
      </c>
      <c r="O182" s="41" t="s">
        <v>41</v>
      </c>
      <c r="AC182" s="67">
        <f t="shared" si="81"/>
        <v>1</v>
      </c>
      <c r="AD182" s="67" t="s">
        <v>41</v>
      </c>
    </row>
    <row r="183" spans="1:37" ht="22.5" outlineLevel="2" x14ac:dyDescent="0.25">
      <c r="A183" s="262" t="s">
        <v>1566</v>
      </c>
      <c r="B183" s="156" t="s">
        <v>1568</v>
      </c>
      <c r="C183" s="154" t="s">
        <v>365</v>
      </c>
      <c r="D183" s="272" t="s">
        <v>319</v>
      </c>
      <c r="E183" s="154" t="s">
        <v>41</v>
      </c>
      <c r="F183" s="154">
        <v>9</v>
      </c>
      <c r="G183" s="154">
        <v>9</v>
      </c>
      <c r="H183" s="286">
        <f t="shared" si="97"/>
        <v>1</v>
      </c>
      <c r="I183" s="286" t="s">
        <v>41</v>
      </c>
      <c r="J183" s="86" t="s">
        <v>41</v>
      </c>
      <c r="K183" s="86" t="s">
        <v>41</v>
      </c>
      <c r="L183" s="39" t="s">
        <v>184</v>
      </c>
      <c r="M183" s="40">
        <v>1</v>
      </c>
      <c r="N183" s="41">
        <f t="shared" si="89"/>
        <v>1</v>
      </c>
      <c r="O183" s="41" t="s">
        <v>41</v>
      </c>
      <c r="AC183" s="67">
        <f t="shared" si="81"/>
        <v>1</v>
      </c>
      <c r="AD183" s="67" t="s">
        <v>41</v>
      </c>
    </row>
    <row r="184" spans="1:37" s="47" customFormat="1" ht="23.25" customHeight="1" x14ac:dyDescent="0.25">
      <c r="A184" s="497">
        <v>6</v>
      </c>
      <c r="B184" s="578" t="s">
        <v>786</v>
      </c>
      <c r="C184" s="578"/>
      <c r="D184" s="578"/>
      <c r="E184" s="578"/>
      <c r="F184" s="578"/>
      <c r="G184" s="578"/>
      <c r="H184" s="498">
        <f>AVERAGE(N185:N210)</f>
        <v>0.93650092531860973</v>
      </c>
      <c r="I184" s="498">
        <f>AVERAGE(O185:O210)</f>
        <v>1.0254738932023471</v>
      </c>
      <c r="J184" s="495"/>
      <c r="K184" s="495"/>
      <c r="L184" s="496"/>
      <c r="M184" s="64"/>
      <c r="N184" s="212"/>
      <c r="O184" s="212"/>
      <c r="P184" s="49"/>
      <c r="Q184" s="49"/>
      <c r="R184" s="110">
        <f>COUNTA(C185:C210)</f>
        <v>22</v>
      </c>
      <c r="S184" s="102">
        <f>R184-T184-U184-V184-W184</f>
        <v>0</v>
      </c>
      <c r="T184" s="110">
        <f>COUNTIFS(AC185:AC210,"&gt;1,50")</f>
        <v>3</v>
      </c>
      <c r="U184" s="110">
        <f>COUNTIFS(AC185:AC210,"&gt;=0,995",AC185:AC210,"&lt;=1,5")</f>
        <v>13</v>
      </c>
      <c r="V184" s="110">
        <f>COUNTIFS(AC185:AC210,"&gt;=0,85",AC185:AC210,"&lt;0,995")</f>
        <v>2</v>
      </c>
      <c r="W184" s="110">
        <f>COUNTIFS(AC185:AC210,"&lt;0,85")</f>
        <v>4</v>
      </c>
      <c r="X184" s="49"/>
      <c r="Z184" s="100">
        <f>COUNTIFS(AD185:AD210,"&gt;=1,01")</f>
        <v>10</v>
      </c>
      <c r="AA184" s="100">
        <f>COUNTIFS(AD185:AD210,"&gt;=0,99",AD185:AD210,"&lt;1,01")</f>
        <v>3</v>
      </c>
      <c r="AB184" s="101">
        <f>COUNTIFS(AD185:AD210,"&lt;0,99")</f>
        <v>3</v>
      </c>
      <c r="AC184" s="67"/>
      <c r="AD184" s="67"/>
      <c r="AK184" s="47">
        <f>SUM(T184:X184)-R184</f>
        <v>0</v>
      </c>
    </row>
    <row r="185" spans="1:37" ht="49.5" customHeight="1" outlineLevel="2" x14ac:dyDescent="0.25">
      <c r="A185" s="262" t="s">
        <v>416</v>
      </c>
      <c r="B185" s="42" t="s">
        <v>417</v>
      </c>
      <c r="C185" s="167" t="s">
        <v>321</v>
      </c>
      <c r="D185" s="280" t="s">
        <v>302</v>
      </c>
      <c r="E185" s="154">
        <v>4.8</v>
      </c>
      <c r="F185" s="154">
        <v>5.0999999999999996</v>
      </c>
      <c r="G185" s="154">
        <v>3.4</v>
      </c>
      <c r="H185" s="142">
        <f>F185/G185</f>
        <v>1.5</v>
      </c>
      <c r="I185" s="142">
        <f>E185/G185</f>
        <v>1.411764705882353</v>
      </c>
      <c r="J185" s="86" t="s">
        <v>1399</v>
      </c>
      <c r="K185" s="162" t="s">
        <v>41</v>
      </c>
      <c r="L185" s="39" t="s">
        <v>241</v>
      </c>
      <c r="M185" s="40">
        <v>-1</v>
      </c>
      <c r="N185" s="41">
        <f t="shared" ref="N185:N198" si="98">IF(H185&gt;1,1,H185)</f>
        <v>1</v>
      </c>
      <c r="O185" s="41">
        <f t="shared" ref="O185:O192" si="99">IF(I185&gt;1.25,1.25,I185)</f>
        <v>1.25</v>
      </c>
      <c r="AC185" s="67">
        <f t="shared" si="81"/>
        <v>1.5</v>
      </c>
      <c r="AD185" s="67">
        <f t="shared" si="81"/>
        <v>1.411764705882353</v>
      </c>
    </row>
    <row r="186" spans="1:37" ht="78.75" outlineLevel="2" x14ac:dyDescent="0.25">
      <c r="A186" s="262" t="s">
        <v>418</v>
      </c>
      <c r="B186" s="42" t="s">
        <v>419</v>
      </c>
      <c r="C186" s="167" t="s">
        <v>321</v>
      </c>
      <c r="D186" s="280" t="s">
        <v>302</v>
      </c>
      <c r="E186" s="154">
        <v>1</v>
      </c>
      <c r="F186" s="154">
        <v>1.5</v>
      </c>
      <c r="G186" s="154">
        <v>0.8</v>
      </c>
      <c r="H186" s="142">
        <f t="shared" ref="H186:H187" si="100">F186/G186</f>
        <v>1.875</v>
      </c>
      <c r="I186" s="142">
        <f t="shared" ref="I186:I188" si="101">E186/G186</f>
        <v>1.25</v>
      </c>
      <c r="J186" s="162" t="s">
        <v>1400</v>
      </c>
      <c r="K186" s="162" t="s">
        <v>41</v>
      </c>
      <c r="L186" s="39" t="s">
        <v>241</v>
      </c>
      <c r="M186" s="40">
        <v>-1</v>
      </c>
      <c r="N186" s="41">
        <f t="shared" si="98"/>
        <v>1</v>
      </c>
      <c r="O186" s="41">
        <f t="shared" si="99"/>
        <v>1.25</v>
      </c>
      <c r="AC186" s="67">
        <f t="shared" si="81"/>
        <v>1.875</v>
      </c>
      <c r="AD186" s="67">
        <f t="shared" si="81"/>
        <v>1.25</v>
      </c>
    </row>
    <row r="187" spans="1:37" ht="51.75" customHeight="1" outlineLevel="2" x14ac:dyDescent="0.25">
      <c r="A187" s="262" t="s">
        <v>420</v>
      </c>
      <c r="B187" s="42" t="s">
        <v>422</v>
      </c>
      <c r="C187" s="137" t="s">
        <v>327</v>
      </c>
      <c r="D187" s="280" t="s">
        <v>302</v>
      </c>
      <c r="E187" s="154">
        <v>2.13</v>
      </c>
      <c r="F187" s="154">
        <v>3.22</v>
      </c>
      <c r="G187" s="154">
        <v>4.34</v>
      </c>
      <c r="H187" s="142">
        <f t="shared" si="100"/>
        <v>0.74193548387096786</v>
      </c>
      <c r="I187" s="142">
        <f t="shared" si="101"/>
        <v>0.49078341013824883</v>
      </c>
      <c r="J187" s="162" t="s">
        <v>1401</v>
      </c>
      <c r="K187" s="86" t="s">
        <v>1402</v>
      </c>
      <c r="L187" s="39" t="s">
        <v>241</v>
      </c>
      <c r="M187" s="40">
        <v>-1</v>
      </c>
      <c r="N187" s="41">
        <f t="shared" si="98"/>
        <v>0.74193548387096786</v>
      </c>
      <c r="O187" s="41">
        <f t="shared" si="99"/>
        <v>0.49078341013824883</v>
      </c>
      <c r="AC187" s="67">
        <f t="shared" si="81"/>
        <v>0.74193548387096786</v>
      </c>
      <c r="AD187" s="67">
        <f t="shared" si="81"/>
        <v>0.49078341013824883</v>
      </c>
    </row>
    <row r="188" spans="1:37" ht="33.75" outlineLevel="2" x14ac:dyDescent="0.25">
      <c r="A188" s="262" t="s">
        <v>421</v>
      </c>
      <c r="B188" s="42" t="s">
        <v>423</v>
      </c>
      <c r="C188" s="137" t="s">
        <v>343</v>
      </c>
      <c r="D188" s="280" t="s">
        <v>302</v>
      </c>
      <c r="E188" s="154">
        <v>0.97</v>
      </c>
      <c r="F188" s="154">
        <v>1.06</v>
      </c>
      <c r="G188" s="154">
        <v>0.9</v>
      </c>
      <c r="H188" s="142">
        <f>F188/G188</f>
        <v>1.1777777777777778</v>
      </c>
      <c r="I188" s="142">
        <f t="shared" si="101"/>
        <v>1.0777777777777777</v>
      </c>
      <c r="J188" s="162" t="s">
        <v>1403</v>
      </c>
      <c r="K188" s="162" t="s">
        <v>41</v>
      </c>
      <c r="L188" s="39" t="s">
        <v>241</v>
      </c>
      <c r="M188" s="40">
        <v>-1</v>
      </c>
      <c r="N188" s="41">
        <f t="shared" si="98"/>
        <v>1</v>
      </c>
      <c r="O188" s="41">
        <f t="shared" si="99"/>
        <v>1.0777777777777777</v>
      </c>
      <c r="AC188" s="67">
        <f t="shared" si="81"/>
        <v>1.1777777777777778</v>
      </c>
      <c r="AD188" s="67">
        <f t="shared" si="81"/>
        <v>1.0777777777777777</v>
      </c>
    </row>
    <row r="189" spans="1:37" s="47" customFormat="1" outlineLevel="1" x14ac:dyDescent="0.25">
      <c r="A189" s="68" t="s">
        <v>137</v>
      </c>
      <c r="B189" s="571" t="s">
        <v>424</v>
      </c>
      <c r="C189" s="571"/>
      <c r="D189" s="571"/>
      <c r="E189" s="571"/>
      <c r="F189" s="571"/>
      <c r="G189" s="571"/>
      <c r="H189" s="69">
        <f>AVERAGE(N190:N195)</f>
        <v>0.93489583333333337</v>
      </c>
      <c r="I189" s="69">
        <f>AVERAGE(O190:O195)</f>
        <v>1.1534155328798186</v>
      </c>
      <c r="J189" s="70"/>
      <c r="K189" s="70"/>
      <c r="L189" s="71"/>
      <c r="M189" s="64"/>
      <c r="N189" s="41"/>
      <c r="O189" s="41"/>
      <c r="P189" s="49"/>
      <c r="Q189" s="49"/>
      <c r="R189" s="104">
        <f>COUNTA(C190:C195)</f>
        <v>6</v>
      </c>
      <c r="S189" s="103">
        <v>0</v>
      </c>
      <c r="T189" s="104">
        <f>COUNTIFS(AC190:AC195,"&gt;1,50")</f>
        <v>1</v>
      </c>
      <c r="U189" s="104">
        <f>COUNTIFS(AC190:AC195,"&gt;=0,995",AC190:AC195,"&lt;=1,5")</f>
        <v>4</v>
      </c>
      <c r="V189" s="104">
        <f>COUNTIFS(AC190:AC195,"&gt;=0,85",AC190:AC195,"&lt;0,995")</f>
        <v>0</v>
      </c>
      <c r="W189" s="104">
        <f>COUNTIFS(AC190:AC195,"&lt;0,85")</f>
        <v>1</v>
      </c>
      <c r="X189" s="52"/>
      <c r="Z189" s="96">
        <f>COUNTIFS(AD190:AD195,"&gt;=1,01")</f>
        <v>2</v>
      </c>
      <c r="AA189" s="96">
        <f>COUNTIFS(AD190:AD195,"&gt;=0,99",AD190:AD195,"&lt;1,01")</f>
        <v>1</v>
      </c>
      <c r="AB189" s="97">
        <f>COUNTIFS(AD190:AD195,"&lt;0,99")</f>
        <v>0</v>
      </c>
      <c r="AC189" s="67"/>
      <c r="AD189" s="67"/>
      <c r="AK189" s="47">
        <f>SUM(T189:X189)-R189</f>
        <v>0</v>
      </c>
    </row>
    <row r="190" spans="1:37" ht="33.75" outlineLevel="2" x14ac:dyDescent="0.25">
      <c r="A190" s="262" t="s">
        <v>425</v>
      </c>
      <c r="B190" s="155" t="s">
        <v>426</v>
      </c>
      <c r="C190" s="157" t="s">
        <v>321</v>
      </c>
      <c r="D190" s="272" t="s">
        <v>319</v>
      </c>
      <c r="E190" s="154">
        <v>58.8</v>
      </c>
      <c r="F190" s="154">
        <v>58.3</v>
      </c>
      <c r="G190" s="154">
        <v>58.3</v>
      </c>
      <c r="H190" s="142">
        <f>G190/F190</f>
        <v>1</v>
      </c>
      <c r="I190" s="142">
        <f>G190/E190</f>
        <v>0.99149659863945583</v>
      </c>
      <c r="J190" s="162" t="s">
        <v>41</v>
      </c>
      <c r="K190" s="162" t="s">
        <v>41</v>
      </c>
      <c r="L190" s="39" t="s">
        <v>241</v>
      </c>
      <c r="M190" s="40">
        <v>1</v>
      </c>
      <c r="N190" s="41">
        <f t="shared" si="98"/>
        <v>1</v>
      </c>
      <c r="O190" s="41">
        <f t="shared" si="99"/>
        <v>0.99149659863945583</v>
      </c>
      <c r="AC190" s="67">
        <f t="shared" si="81"/>
        <v>1</v>
      </c>
      <c r="AD190" s="67">
        <f t="shared" si="81"/>
        <v>0.99149659863945583</v>
      </c>
    </row>
    <row r="191" spans="1:37" ht="33.75" outlineLevel="2" x14ac:dyDescent="0.25">
      <c r="A191" s="262" t="s">
        <v>427</v>
      </c>
      <c r="B191" s="155" t="s">
        <v>429</v>
      </c>
      <c r="C191" s="157" t="s">
        <v>430</v>
      </c>
      <c r="D191" s="280" t="s">
        <v>302</v>
      </c>
      <c r="E191" s="154">
        <v>4.3</v>
      </c>
      <c r="F191" s="154">
        <v>5.6</v>
      </c>
      <c r="G191" s="154">
        <v>2.9</v>
      </c>
      <c r="H191" s="142">
        <f t="shared" ref="H191:H192" si="102">F191/G191</f>
        <v>1.9310344827586206</v>
      </c>
      <c r="I191" s="142">
        <f t="shared" ref="I191:I192" si="103">E191/G191</f>
        <v>1.4827586206896552</v>
      </c>
      <c r="J191" s="162" t="s">
        <v>1406</v>
      </c>
      <c r="K191" s="162" t="s">
        <v>41</v>
      </c>
      <c r="L191" s="39" t="s">
        <v>241</v>
      </c>
      <c r="M191" s="40">
        <v>-1</v>
      </c>
      <c r="N191" s="41">
        <f t="shared" si="98"/>
        <v>1</v>
      </c>
      <c r="O191" s="41">
        <f t="shared" si="99"/>
        <v>1.25</v>
      </c>
      <c r="AC191" s="67">
        <f t="shared" si="81"/>
        <v>1.9310344827586206</v>
      </c>
      <c r="AD191" s="67">
        <f t="shared" si="81"/>
        <v>1.4827586206896552</v>
      </c>
    </row>
    <row r="192" spans="1:37" ht="57.75" customHeight="1" outlineLevel="2" x14ac:dyDescent="0.25">
      <c r="A192" s="262" t="s">
        <v>428</v>
      </c>
      <c r="B192" s="155" t="s">
        <v>787</v>
      </c>
      <c r="C192" s="157" t="s">
        <v>343</v>
      </c>
      <c r="D192" s="280" t="s">
        <v>302</v>
      </c>
      <c r="E192" s="154">
        <v>7.8</v>
      </c>
      <c r="F192" s="154">
        <v>3.9</v>
      </c>
      <c r="G192" s="154">
        <v>6.4</v>
      </c>
      <c r="H192" s="142">
        <f t="shared" si="102"/>
        <v>0.609375</v>
      </c>
      <c r="I192" s="142">
        <f t="shared" si="103"/>
        <v>1.21875</v>
      </c>
      <c r="J192" s="86" t="s">
        <v>1407</v>
      </c>
      <c r="K192" s="86" t="s">
        <v>788</v>
      </c>
      <c r="L192" s="39" t="s">
        <v>241</v>
      </c>
      <c r="M192" s="40">
        <v>-1</v>
      </c>
      <c r="N192" s="41">
        <f t="shared" si="98"/>
        <v>0.609375</v>
      </c>
      <c r="O192" s="41">
        <f t="shared" si="99"/>
        <v>1.21875</v>
      </c>
      <c r="AC192" s="67">
        <f t="shared" si="81"/>
        <v>0.609375</v>
      </c>
      <c r="AD192" s="67">
        <f t="shared" si="81"/>
        <v>1.21875</v>
      </c>
    </row>
    <row r="193" spans="1:37" ht="33.75" outlineLevel="2" x14ac:dyDescent="0.25">
      <c r="A193" s="262" t="s">
        <v>431</v>
      </c>
      <c r="B193" s="155" t="s">
        <v>432</v>
      </c>
      <c r="C193" s="157" t="s">
        <v>343</v>
      </c>
      <c r="D193" s="289" t="s">
        <v>339</v>
      </c>
      <c r="E193" s="154">
        <v>30</v>
      </c>
      <c r="F193" s="154">
        <v>14</v>
      </c>
      <c r="G193" s="154">
        <v>14</v>
      </c>
      <c r="H193" s="142">
        <f>G193/F193</f>
        <v>1</v>
      </c>
      <c r="I193" s="142">
        <f>G193/E193</f>
        <v>0.46666666666666667</v>
      </c>
      <c r="J193" s="162" t="s">
        <v>41</v>
      </c>
      <c r="K193" s="162" t="s">
        <v>41</v>
      </c>
      <c r="L193" s="39" t="s">
        <v>241</v>
      </c>
      <c r="M193" s="40">
        <v>0</v>
      </c>
      <c r="N193" s="41">
        <f t="shared" si="98"/>
        <v>1</v>
      </c>
      <c r="O193" s="41" t="s">
        <v>41</v>
      </c>
      <c r="AC193" s="67">
        <f t="shared" si="81"/>
        <v>1</v>
      </c>
      <c r="AD193" s="67"/>
    </row>
    <row r="194" spans="1:37" ht="56.25" outlineLevel="2" x14ac:dyDescent="0.25">
      <c r="A194" s="262" t="s">
        <v>1404</v>
      </c>
      <c r="B194" s="155" t="s">
        <v>1202</v>
      </c>
      <c r="C194" s="157" t="s">
        <v>343</v>
      </c>
      <c r="D194" s="289" t="s">
        <v>339</v>
      </c>
      <c r="E194" s="154">
        <v>2</v>
      </c>
      <c r="F194" s="154">
        <v>15</v>
      </c>
      <c r="G194" s="154">
        <v>15</v>
      </c>
      <c r="H194" s="142">
        <f>G194/F194</f>
        <v>1</v>
      </c>
      <c r="I194" s="142">
        <f>G194/E194</f>
        <v>7.5</v>
      </c>
      <c r="J194" s="162" t="s">
        <v>41</v>
      </c>
      <c r="K194" s="162" t="s">
        <v>41</v>
      </c>
      <c r="L194" s="39" t="s">
        <v>241</v>
      </c>
      <c r="M194" s="40">
        <v>0</v>
      </c>
      <c r="N194" s="41">
        <f t="shared" ref="N194" si="104">IF(H194&gt;1,1,H194)</f>
        <v>1</v>
      </c>
      <c r="O194" s="41" t="s">
        <v>41</v>
      </c>
      <c r="AC194" s="67">
        <f t="shared" si="81"/>
        <v>1</v>
      </c>
      <c r="AD194" s="67"/>
    </row>
    <row r="195" spans="1:37" ht="67.5" outlineLevel="2" x14ac:dyDescent="0.25">
      <c r="A195" s="262" t="s">
        <v>689</v>
      </c>
      <c r="B195" s="155" t="s">
        <v>1405</v>
      </c>
      <c r="C195" s="157" t="s">
        <v>327</v>
      </c>
      <c r="D195" s="289" t="s">
        <v>339</v>
      </c>
      <c r="E195" s="154" t="s">
        <v>41</v>
      </c>
      <c r="F195" s="154">
        <v>283</v>
      </c>
      <c r="G195" s="154">
        <v>296</v>
      </c>
      <c r="H195" s="142">
        <f>G195/F195</f>
        <v>1.0459363957597174</v>
      </c>
      <c r="I195" s="142" t="s">
        <v>41</v>
      </c>
      <c r="J195" s="162" t="s">
        <v>1408</v>
      </c>
      <c r="K195" s="162" t="s">
        <v>41</v>
      </c>
      <c r="L195" s="39" t="s">
        <v>241</v>
      </c>
      <c r="M195" s="40">
        <v>0</v>
      </c>
      <c r="N195" s="41">
        <f t="shared" si="98"/>
        <v>1</v>
      </c>
      <c r="O195" s="41" t="s">
        <v>41</v>
      </c>
      <c r="AC195" s="67">
        <f t="shared" si="81"/>
        <v>1.0459363957597174</v>
      </c>
      <c r="AD195" s="67"/>
    </row>
    <row r="196" spans="1:37" s="47" customFormat="1" ht="24" customHeight="1" outlineLevel="1" x14ac:dyDescent="0.25">
      <c r="A196" s="68" t="s">
        <v>138</v>
      </c>
      <c r="B196" s="571" t="s">
        <v>433</v>
      </c>
      <c r="C196" s="571"/>
      <c r="D196" s="571"/>
      <c r="E196" s="571"/>
      <c r="F196" s="571"/>
      <c r="G196" s="571"/>
      <c r="H196" s="69">
        <f>AVERAGE(N197:N199)</f>
        <v>0.97142857142857142</v>
      </c>
      <c r="I196" s="69">
        <v>1</v>
      </c>
      <c r="J196" s="70"/>
      <c r="K196" s="70"/>
      <c r="L196" s="71"/>
      <c r="M196" s="159"/>
      <c r="N196" s="41"/>
      <c r="O196" s="212"/>
      <c r="P196" s="49"/>
      <c r="Q196" s="49"/>
      <c r="R196" s="104">
        <f>COUNTA(C197:C199)</f>
        <v>3</v>
      </c>
      <c r="S196" s="103">
        <v>0</v>
      </c>
      <c r="T196" s="104">
        <f>COUNTIFS(AC197:AC199,"&gt;1,50")</f>
        <v>0</v>
      </c>
      <c r="U196" s="104">
        <f>COUNTIFS(AC197:AC199,"&gt;=0,995",AC197:AC199,"&lt;=1,5")</f>
        <v>2</v>
      </c>
      <c r="V196" s="104">
        <f>COUNTIFS(AC197:AC199,"&gt;=0,85",AC197:AC199,"&lt;0,995")</f>
        <v>1</v>
      </c>
      <c r="W196" s="104">
        <f>COUNTIFS(AC197:AC199,"&lt;0,85")</f>
        <v>0</v>
      </c>
      <c r="X196" s="52"/>
      <c r="Z196" s="96">
        <f>COUNTIFS(AD197:AD199,"&gt;=1,01")</f>
        <v>0</v>
      </c>
      <c r="AA196" s="96">
        <f>COUNTIFS(AD197:AD199,"&gt;=0,99",AD197:AD199,"&lt;1,01")</f>
        <v>0</v>
      </c>
      <c r="AB196" s="97">
        <f>COUNTIFS(AD197:AD199,"&lt;0,99")</f>
        <v>0</v>
      </c>
      <c r="AC196" s="67"/>
      <c r="AD196" s="67"/>
      <c r="AK196" s="47">
        <f>SUM(T196:X196)-R196</f>
        <v>0</v>
      </c>
    </row>
    <row r="197" spans="1:37" s="47" customFormat="1" ht="63" customHeight="1" outlineLevel="1" x14ac:dyDescent="0.25">
      <c r="A197" s="262" t="s">
        <v>434</v>
      </c>
      <c r="B197" s="42" t="s">
        <v>791</v>
      </c>
      <c r="C197" s="157" t="s">
        <v>327</v>
      </c>
      <c r="D197" s="157" t="s">
        <v>339</v>
      </c>
      <c r="E197" s="154">
        <v>203</v>
      </c>
      <c r="F197" s="154">
        <v>140</v>
      </c>
      <c r="G197" s="154">
        <v>150</v>
      </c>
      <c r="H197" s="291">
        <f>G197/F197</f>
        <v>1.0714285714285714</v>
      </c>
      <c r="I197" s="142">
        <f>G197/E197</f>
        <v>0.73891625615763545</v>
      </c>
      <c r="J197" s="86" t="s">
        <v>1409</v>
      </c>
      <c r="K197" s="162" t="s">
        <v>41</v>
      </c>
      <c r="L197" s="39" t="s">
        <v>241</v>
      </c>
      <c r="M197" s="292">
        <v>0</v>
      </c>
      <c r="N197" s="41">
        <f t="shared" si="98"/>
        <v>1</v>
      </c>
      <c r="O197" s="160" t="s">
        <v>41</v>
      </c>
      <c r="P197" s="49"/>
      <c r="Q197" s="49"/>
      <c r="R197" s="370"/>
      <c r="S197" s="103"/>
      <c r="T197" s="370"/>
      <c r="U197" s="370"/>
      <c r="V197" s="370"/>
      <c r="W197" s="370"/>
      <c r="X197" s="52"/>
      <c r="Z197" s="371"/>
      <c r="AA197" s="371"/>
      <c r="AB197" s="371"/>
      <c r="AC197" s="67">
        <f t="shared" si="81"/>
        <v>1.0714285714285714</v>
      </c>
      <c r="AD197" s="67"/>
    </row>
    <row r="198" spans="1:37" s="47" customFormat="1" ht="78.75" outlineLevel="1" x14ac:dyDescent="0.25">
      <c r="A198" s="262" t="s">
        <v>789</v>
      </c>
      <c r="B198" s="42" t="s">
        <v>792</v>
      </c>
      <c r="C198" s="157" t="s">
        <v>321</v>
      </c>
      <c r="D198" s="157" t="s">
        <v>339</v>
      </c>
      <c r="E198" s="154">
        <v>66</v>
      </c>
      <c r="F198" s="154">
        <v>70</v>
      </c>
      <c r="G198" s="154">
        <v>64</v>
      </c>
      <c r="H198" s="291">
        <f t="shared" ref="H198:H199" si="105">G198/F198</f>
        <v>0.91428571428571426</v>
      </c>
      <c r="I198" s="142">
        <f>G198/E198</f>
        <v>0.96969696969696972</v>
      </c>
      <c r="J198" s="162" t="s">
        <v>1203</v>
      </c>
      <c r="K198" s="162" t="s">
        <v>41</v>
      </c>
      <c r="L198" s="39" t="s">
        <v>241</v>
      </c>
      <c r="M198" s="292">
        <v>0</v>
      </c>
      <c r="N198" s="41">
        <f t="shared" si="98"/>
        <v>0.91428571428571426</v>
      </c>
      <c r="O198" s="160" t="s">
        <v>41</v>
      </c>
      <c r="P198" s="49"/>
      <c r="Q198" s="49"/>
      <c r="R198" s="370"/>
      <c r="S198" s="103"/>
      <c r="T198" s="370"/>
      <c r="U198" s="370"/>
      <c r="V198" s="370"/>
      <c r="W198" s="370"/>
      <c r="X198" s="52"/>
      <c r="Z198" s="371"/>
      <c r="AA198" s="371"/>
      <c r="AB198" s="371"/>
      <c r="AC198" s="67">
        <f t="shared" si="81"/>
        <v>0.91428571428571426</v>
      </c>
      <c r="AD198" s="67"/>
    </row>
    <row r="199" spans="1:37" ht="45" outlineLevel="2" x14ac:dyDescent="0.25">
      <c r="A199" s="262" t="s">
        <v>790</v>
      </c>
      <c r="B199" s="42" t="s">
        <v>793</v>
      </c>
      <c r="C199" s="157" t="s">
        <v>327</v>
      </c>
      <c r="D199" s="157" t="s">
        <v>339</v>
      </c>
      <c r="E199" s="154">
        <v>17</v>
      </c>
      <c r="F199" s="154">
        <v>14</v>
      </c>
      <c r="G199" s="154">
        <v>17</v>
      </c>
      <c r="H199" s="291">
        <f t="shared" si="105"/>
        <v>1.2142857142857142</v>
      </c>
      <c r="I199" s="142">
        <f>G199/E199</f>
        <v>1</v>
      </c>
      <c r="J199" s="162" t="s">
        <v>1203</v>
      </c>
      <c r="K199" s="162" t="s">
        <v>41</v>
      </c>
      <c r="L199" s="39" t="s">
        <v>241</v>
      </c>
      <c r="M199" s="40">
        <v>0</v>
      </c>
      <c r="N199" s="41">
        <f>IF(H199&gt;1,1,H199)</f>
        <v>1</v>
      </c>
      <c r="O199" s="41" t="s">
        <v>41</v>
      </c>
      <c r="AC199" s="67">
        <f t="shared" si="81"/>
        <v>1.2142857142857142</v>
      </c>
      <c r="AD199" s="67"/>
    </row>
    <row r="200" spans="1:37" s="47" customFormat="1" outlineLevel="1" x14ac:dyDescent="0.25">
      <c r="A200" s="68" t="s">
        <v>267</v>
      </c>
      <c r="B200" s="571" t="s">
        <v>794</v>
      </c>
      <c r="C200" s="571"/>
      <c r="D200" s="571"/>
      <c r="E200" s="571"/>
      <c r="F200" s="571"/>
      <c r="G200" s="571"/>
      <c r="H200" s="69">
        <f>AVERAGE(N201:N208)</f>
        <v>0.91717801985659131</v>
      </c>
      <c r="I200" s="69">
        <f>AVERAGE(O201:O208)</f>
        <v>0.979412030476563</v>
      </c>
      <c r="J200" s="70"/>
      <c r="K200" s="70"/>
      <c r="L200" s="71"/>
      <c r="M200" s="64"/>
      <c r="N200" s="41"/>
      <c r="O200" s="212"/>
      <c r="P200" s="49"/>
      <c r="Q200" s="49"/>
      <c r="R200" s="104">
        <f>COUNTA(C201:C208)</f>
        <v>8</v>
      </c>
      <c r="S200" s="103">
        <v>0</v>
      </c>
      <c r="T200" s="104">
        <f>COUNTIFS(AC201:AC208,"&gt;1,50")</f>
        <v>1</v>
      </c>
      <c r="U200" s="104">
        <f>COUNTIFS(AC201:AC208,"&gt;=0,995",AC201:AC208,"&lt;=1,5")</f>
        <v>4</v>
      </c>
      <c r="V200" s="104">
        <f>COUNTIFS(AC201:AC208,"&gt;=0,85",AC201:AC208,"&lt;0,995")</f>
        <v>1</v>
      </c>
      <c r="W200" s="104">
        <f>COUNTIFS(AC201:AC208,"&lt;0,85")</f>
        <v>2</v>
      </c>
      <c r="X200" s="52"/>
      <c r="Z200" s="96">
        <f>COUNTIFS(AD201:AD208,"&gt;=1,01")</f>
        <v>4</v>
      </c>
      <c r="AA200" s="96">
        <f>COUNTIFS(AD201:AD208,"&gt;=0,99",AD201:AD208,"&lt;1,01")</f>
        <v>2</v>
      </c>
      <c r="AB200" s="97">
        <f>COUNTIFS(AD201:AD208,"&lt;0,99")</f>
        <v>2</v>
      </c>
      <c r="AC200" s="67"/>
      <c r="AD200" s="67"/>
      <c r="AK200" s="47">
        <f>SUM(T200:X200)-R200</f>
        <v>0</v>
      </c>
    </row>
    <row r="201" spans="1:37" ht="67.5" outlineLevel="2" x14ac:dyDescent="0.25">
      <c r="A201" s="262" t="s">
        <v>796</v>
      </c>
      <c r="B201" s="42" t="s">
        <v>435</v>
      </c>
      <c r="C201" s="134" t="s">
        <v>327</v>
      </c>
      <c r="D201" s="280" t="s">
        <v>302</v>
      </c>
      <c r="E201" s="154">
        <v>12</v>
      </c>
      <c r="F201" s="154">
        <v>9</v>
      </c>
      <c r="G201" s="154">
        <v>12</v>
      </c>
      <c r="H201" s="142">
        <f>F201/G201</f>
        <v>0.75</v>
      </c>
      <c r="I201" s="142">
        <f>E201/G201</f>
        <v>1</v>
      </c>
      <c r="J201" s="162" t="s">
        <v>1417</v>
      </c>
      <c r="K201" s="162" t="s">
        <v>1410</v>
      </c>
      <c r="L201" s="39" t="s">
        <v>241</v>
      </c>
      <c r="M201" s="40">
        <v>-1</v>
      </c>
      <c r="N201" s="41">
        <f t="shared" ref="N201:N219" si="106">IF(H201&gt;1,1,H201)</f>
        <v>0.75</v>
      </c>
      <c r="O201" s="41">
        <f t="shared" ref="O201:O213" si="107">IF(I201&gt;1.25,1.25,I201)</f>
        <v>1</v>
      </c>
      <c r="AC201" s="67">
        <f t="shared" si="81"/>
        <v>0.75</v>
      </c>
      <c r="AD201" s="67">
        <f t="shared" si="81"/>
        <v>1</v>
      </c>
    </row>
    <row r="202" spans="1:37" ht="45" outlineLevel="2" x14ac:dyDescent="0.25">
      <c r="A202" s="262" t="s">
        <v>799</v>
      </c>
      <c r="B202" s="131" t="s">
        <v>797</v>
      </c>
      <c r="C202" s="134" t="s">
        <v>327</v>
      </c>
      <c r="D202" s="280" t="s">
        <v>302</v>
      </c>
      <c r="E202" s="154">
        <v>223</v>
      </c>
      <c r="F202" s="154">
        <v>250</v>
      </c>
      <c r="G202" s="154">
        <v>210</v>
      </c>
      <c r="H202" s="142">
        <f t="shared" ref="H202:H204" si="108">F202/G202</f>
        <v>1.1904761904761905</v>
      </c>
      <c r="I202" s="142">
        <f>E202/G202</f>
        <v>1.0619047619047619</v>
      </c>
      <c r="J202" s="162" t="s">
        <v>1411</v>
      </c>
      <c r="K202" s="162" t="s">
        <v>41</v>
      </c>
      <c r="L202" s="39" t="s">
        <v>241</v>
      </c>
      <c r="M202" s="40">
        <v>-1</v>
      </c>
      <c r="N202" s="41">
        <f t="shared" si="106"/>
        <v>1</v>
      </c>
      <c r="O202" s="41">
        <f t="shared" si="107"/>
        <v>1.0619047619047619</v>
      </c>
      <c r="AC202" s="67">
        <f t="shared" si="81"/>
        <v>1.1904761904761905</v>
      </c>
      <c r="AD202" s="67">
        <f t="shared" si="81"/>
        <v>1.0619047619047619</v>
      </c>
    </row>
    <row r="203" spans="1:37" ht="56.25" outlineLevel="2" x14ac:dyDescent="0.25">
      <c r="A203" s="262" t="s">
        <v>800</v>
      </c>
      <c r="B203" s="131" t="s">
        <v>436</v>
      </c>
      <c r="C203" s="134" t="s">
        <v>343</v>
      </c>
      <c r="D203" s="280" t="s">
        <v>302</v>
      </c>
      <c r="E203" s="154">
        <v>53</v>
      </c>
      <c r="F203" s="154">
        <v>65</v>
      </c>
      <c r="G203" s="154">
        <v>57</v>
      </c>
      <c r="H203" s="142">
        <f t="shared" si="108"/>
        <v>1.1403508771929824</v>
      </c>
      <c r="I203" s="142">
        <f t="shared" ref="I203:I204" si="109">E203/G203</f>
        <v>0.92982456140350878</v>
      </c>
      <c r="J203" s="162" t="s">
        <v>1412</v>
      </c>
      <c r="K203" s="162" t="s">
        <v>41</v>
      </c>
      <c r="L203" s="39" t="s">
        <v>241</v>
      </c>
      <c r="M203" s="40">
        <v>-1</v>
      </c>
      <c r="N203" s="41">
        <f t="shared" si="106"/>
        <v>1</v>
      </c>
      <c r="O203" s="41">
        <f t="shared" si="107"/>
        <v>0.92982456140350878</v>
      </c>
      <c r="AC203" s="67">
        <f t="shared" si="81"/>
        <v>1.1403508771929824</v>
      </c>
      <c r="AD203" s="67">
        <f t="shared" si="81"/>
        <v>0.92982456140350878</v>
      </c>
    </row>
    <row r="204" spans="1:37" ht="67.5" outlineLevel="2" x14ac:dyDescent="0.25">
      <c r="A204" s="262" t="s">
        <v>801</v>
      </c>
      <c r="B204" s="243" t="s">
        <v>798</v>
      </c>
      <c r="C204" s="134" t="s">
        <v>327</v>
      </c>
      <c r="D204" s="280" t="s">
        <v>302</v>
      </c>
      <c r="E204" s="154">
        <v>76</v>
      </c>
      <c r="F204" s="154">
        <v>96</v>
      </c>
      <c r="G204" s="154">
        <v>148</v>
      </c>
      <c r="H204" s="142">
        <f t="shared" si="108"/>
        <v>0.64864864864864868</v>
      </c>
      <c r="I204" s="142">
        <f t="shared" si="109"/>
        <v>0.51351351351351349</v>
      </c>
      <c r="J204" s="162" t="s">
        <v>1413</v>
      </c>
      <c r="K204" s="162" t="s">
        <v>1402</v>
      </c>
      <c r="L204" s="39" t="s">
        <v>241</v>
      </c>
      <c r="M204" s="40">
        <v>-1</v>
      </c>
      <c r="N204" s="41">
        <f t="shared" si="106"/>
        <v>0.64864864864864868</v>
      </c>
      <c r="O204" s="41">
        <f t="shared" si="107"/>
        <v>0.51351351351351349</v>
      </c>
      <c r="AC204" s="67">
        <f t="shared" si="81"/>
        <v>0.64864864864864868</v>
      </c>
      <c r="AD204" s="67">
        <f t="shared" si="81"/>
        <v>0.51351351351351349</v>
      </c>
    </row>
    <row r="205" spans="1:37" ht="56.25" outlineLevel="2" x14ac:dyDescent="0.25">
      <c r="A205" s="262" t="s">
        <v>802</v>
      </c>
      <c r="B205" s="131" t="s">
        <v>437</v>
      </c>
      <c r="C205" s="134" t="s">
        <v>343</v>
      </c>
      <c r="D205" s="272" t="s">
        <v>319</v>
      </c>
      <c r="E205" s="154">
        <v>52615</v>
      </c>
      <c r="F205" s="154">
        <v>19000</v>
      </c>
      <c r="G205" s="154">
        <v>52756</v>
      </c>
      <c r="H205" s="142">
        <f>G205/F205</f>
        <v>2.7766315789473683</v>
      </c>
      <c r="I205" s="142">
        <f>G205/E205</f>
        <v>1.0026798441509075</v>
      </c>
      <c r="J205" s="162" t="s">
        <v>1414</v>
      </c>
      <c r="K205" s="162" t="s">
        <v>41</v>
      </c>
      <c r="L205" s="39" t="s">
        <v>241</v>
      </c>
      <c r="M205" s="40">
        <v>1</v>
      </c>
      <c r="N205" s="41">
        <f t="shared" si="106"/>
        <v>1</v>
      </c>
      <c r="O205" s="41">
        <f t="shared" si="107"/>
        <v>1.0026798441509075</v>
      </c>
      <c r="AC205" s="67">
        <f t="shared" si="81"/>
        <v>2.7766315789473683</v>
      </c>
      <c r="AD205" s="67">
        <f t="shared" si="81"/>
        <v>1.0026798441509075</v>
      </c>
    </row>
    <row r="206" spans="1:37" ht="258.75" outlineLevel="2" x14ac:dyDescent="0.25">
      <c r="A206" s="262" t="s">
        <v>803</v>
      </c>
      <c r="B206" s="131" t="s">
        <v>438</v>
      </c>
      <c r="C206" s="134" t="s">
        <v>321</v>
      </c>
      <c r="D206" s="272" t="s">
        <v>319</v>
      </c>
      <c r="E206" s="154">
        <v>77</v>
      </c>
      <c r="F206" s="154">
        <v>98</v>
      </c>
      <c r="G206" s="154">
        <v>92</v>
      </c>
      <c r="H206" s="142">
        <f>G206/F206</f>
        <v>0.93877551020408168</v>
      </c>
      <c r="I206" s="142">
        <f t="shared" ref="I206" si="110">G206/E206</f>
        <v>1.1948051948051948</v>
      </c>
      <c r="J206" s="162" t="s">
        <v>1415</v>
      </c>
      <c r="K206" s="162" t="s">
        <v>1416</v>
      </c>
      <c r="L206" s="39" t="s">
        <v>241</v>
      </c>
      <c r="M206" s="40">
        <v>1</v>
      </c>
      <c r="N206" s="41">
        <f t="shared" si="106"/>
        <v>0.93877551020408168</v>
      </c>
      <c r="O206" s="41">
        <f t="shared" si="107"/>
        <v>1.1948051948051948</v>
      </c>
      <c r="AC206" s="67">
        <f t="shared" si="81"/>
        <v>0.93877551020408168</v>
      </c>
      <c r="AD206" s="67">
        <f t="shared" si="81"/>
        <v>1.1948051948051948</v>
      </c>
    </row>
    <row r="207" spans="1:37" ht="33.75" outlineLevel="2" x14ac:dyDescent="0.25">
      <c r="A207" s="262" t="s">
        <v>804</v>
      </c>
      <c r="B207" s="243" t="s">
        <v>439</v>
      </c>
      <c r="C207" s="134" t="s">
        <v>430</v>
      </c>
      <c r="D207" s="280" t="s">
        <v>302</v>
      </c>
      <c r="E207" s="154">
        <v>52.2</v>
      </c>
      <c r="F207" s="154">
        <v>59.4</v>
      </c>
      <c r="G207" s="154">
        <v>46.6</v>
      </c>
      <c r="H207" s="142">
        <f>F207/G207</f>
        <v>1.2746781115879828</v>
      </c>
      <c r="I207" s="142">
        <f>E207/G207</f>
        <v>1.1201716738197425</v>
      </c>
      <c r="J207" s="162" t="s">
        <v>1204</v>
      </c>
      <c r="K207" s="162" t="s">
        <v>41</v>
      </c>
      <c r="L207" s="39" t="s">
        <v>241</v>
      </c>
      <c r="M207" s="40">
        <v>-1</v>
      </c>
      <c r="N207" s="41">
        <f t="shared" si="106"/>
        <v>1</v>
      </c>
      <c r="O207" s="41">
        <f t="shared" si="107"/>
        <v>1.1201716738197425</v>
      </c>
      <c r="AC207" s="67">
        <f t="shared" si="81"/>
        <v>1.2746781115879828</v>
      </c>
      <c r="AD207" s="67">
        <f t="shared" si="81"/>
        <v>1.1201716738197425</v>
      </c>
    </row>
    <row r="208" spans="1:37" ht="71.25" customHeight="1" outlineLevel="2" x14ac:dyDescent="0.25">
      <c r="A208" s="262" t="s">
        <v>805</v>
      </c>
      <c r="B208" s="131" t="s">
        <v>440</v>
      </c>
      <c r="C208" s="134" t="s">
        <v>321</v>
      </c>
      <c r="D208" s="280" t="s">
        <v>302</v>
      </c>
      <c r="E208" s="154">
        <v>24.5</v>
      </c>
      <c r="F208" s="154">
        <v>24.2</v>
      </c>
      <c r="G208" s="154">
        <v>24.2</v>
      </c>
      <c r="H208" s="142">
        <f>F208/G208</f>
        <v>1</v>
      </c>
      <c r="I208" s="142">
        <f>E208/G208</f>
        <v>1.0123966942148761</v>
      </c>
      <c r="J208" s="162" t="s">
        <v>41</v>
      </c>
      <c r="K208" s="162" t="s">
        <v>41</v>
      </c>
      <c r="L208" s="39" t="s">
        <v>241</v>
      </c>
      <c r="M208" s="40">
        <v>-1</v>
      </c>
      <c r="N208" s="41">
        <f t="shared" si="106"/>
        <v>1</v>
      </c>
      <c r="O208" s="41">
        <f t="shared" si="107"/>
        <v>1.0123966942148761</v>
      </c>
      <c r="AC208" s="67">
        <f t="shared" si="81"/>
        <v>1</v>
      </c>
      <c r="AD208" s="67">
        <f t="shared" si="81"/>
        <v>1.0123966942148761</v>
      </c>
    </row>
    <row r="209" spans="1:37" s="47" customFormat="1" ht="23.25" customHeight="1" outlineLevel="1" x14ac:dyDescent="0.25">
      <c r="A209" s="68" t="s">
        <v>139</v>
      </c>
      <c r="B209" s="572" t="s">
        <v>441</v>
      </c>
      <c r="C209" s="573"/>
      <c r="D209" s="573"/>
      <c r="E209" s="573"/>
      <c r="F209" s="573"/>
      <c r="G209" s="574"/>
      <c r="H209" s="69">
        <f>AVERAGE(N210:N210)</f>
        <v>1</v>
      </c>
      <c r="I209" s="69">
        <f>AVERAGE(O210:O210)</f>
        <v>1.0434782608695652</v>
      </c>
      <c r="J209" s="70"/>
      <c r="K209" s="70"/>
      <c r="L209" s="71"/>
      <c r="M209" s="64"/>
      <c r="N209" s="41"/>
      <c r="O209" s="41"/>
      <c r="P209" s="49"/>
      <c r="Q209" s="49"/>
      <c r="R209" s="104">
        <f>COUNTA(C210)</f>
        <v>1</v>
      </c>
      <c r="S209" s="103">
        <v>0</v>
      </c>
      <c r="T209" s="104">
        <f>COUNTIFS(AC210,"&gt;1,50")</f>
        <v>0</v>
      </c>
      <c r="U209" s="104">
        <f>COUNTIFS(AC210,"&gt;=0,995",AC210,"&lt;=1,5")</f>
        <v>1</v>
      </c>
      <c r="V209" s="104">
        <f>COUNTIFS(AC210,"&gt;=0,85",AC210,"&lt;0,995")</f>
        <v>0</v>
      </c>
      <c r="W209" s="104">
        <f>COUNTIFS(AC210,"&lt;0,85")</f>
        <v>0</v>
      </c>
      <c r="X209" s="52"/>
      <c r="Z209" s="96">
        <f>COUNTIFS(AD210,"&gt;=1,01")</f>
        <v>1</v>
      </c>
      <c r="AA209" s="96">
        <f>COUNTIFS(AD210,"&gt;=0,99",AD210,"&lt;1,01")</f>
        <v>0</v>
      </c>
      <c r="AB209" s="97">
        <f>COUNTIFS(AD210,"&lt;0,99")</f>
        <v>0</v>
      </c>
      <c r="AC209" s="67"/>
      <c r="AD209" s="67"/>
      <c r="AK209" s="47">
        <f>SUM(T209:X209)-R209</f>
        <v>0</v>
      </c>
    </row>
    <row r="210" spans="1:37" ht="33.75" outlineLevel="2" x14ac:dyDescent="0.25">
      <c r="A210" s="262" t="s">
        <v>140</v>
      </c>
      <c r="B210" s="42" t="s">
        <v>442</v>
      </c>
      <c r="C210" s="157" t="s">
        <v>321</v>
      </c>
      <c r="D210" s="293" t="s">
        <v>319</v>
      </c>
      <c r="E210" s="154">
        <v>23</v>
      </c>
      <c r="F210" s="154">
        <v>24</v>
      </c>
      <c r="G210" s="154">
        <v>24</v>
      </c>
      <c r="H210" s="83">
        <f t="shared" ref="H210" si="111">G210/F210</f>
        <v>1</v>
      </c>
      <c r="I210" s="83">
        <f t="shared" ref="I210" si="112">G210/E210</f>
        <v>1.0434782608695652</v>
      </c>
      <c r="J210" s="294" t="s">
        <v>41</v>
      </c>
      <c r="K210" s="158" t="s">
        <v>41</v>
      </c>
      <c r="L210" s="39" t="s">
        <v>241</v>
      </c>
      <c r="M210" s="40">
        <v>1</v>
      </c>
      <c r="N210" s="41">
        <f t="shared" si="106"/>
        <v>1</v>
      </c>
      <c r="O210" s="41">
        <f t="shared" si="107"/>
        <v>1.0434782608695652</v>
      </c>
      <c r="AC210" s="67">
        <f t="shared" si="81"/>
        <v>1</v>
      </c>
      <c r="AD210" s="67">
        <f t="shared" si="81"/>
        <v>1.0434782608695652</v>
      </c>
    </row>
    <row r="211" spans="1:37" s="47" customFormat="1" ht="25.5" customHeight="1" x14ac:dyDescent="0.25">
      <c r="A211" s="493">
        <v>7</v>
      </c>
      <c r="B211" s="577" t="s">
        <v>878</v>
      </c>
      <c r="C211" s="577"/>
      <c r="D211" s="577"/>
      <c r="E211" s="577"/>
      <c r="F211" s="577"/>
      <c r="G211" s="577"/>
      <c r="H211" s="494">
        <f>AVERAGE(N212:N256)</f>
        <v>0.94301168027513871</v>
      </c>
      <c r="I211" s="494">
        <f>AVERAGE(O212:O256)</f>
        <v>0.95967738939011793</v>
      </c>
      <c r="J211" s="495"/>
      <c r="K211" s="495"/>
      <c r="L211" s="496"/>
      <c r="M211" s="64"/>
      <c r="N211" s="41"/>
      <c r="O211" s="41"/>
      <c r="P211" s="49"/>
      <c r="Q211" s="49"/>
      <c r="R211" s="110">
        <f>COUNTA(C212:C256)</f>
        <v>40</v>
      </c>
      <c r="S211" s="102">
        <v>2</v>
      </c>
      <c r="T211" s="110">
        <f>COUNTIFS(AC212:AC256,"&gt;1,50")</f>
        <v>3</v>
      </c>
      <c r="U211" s="110">
        <f>COUNTIFS(AC212:AC256,"&gt;=0,995",AC212:AC256,"&lt;=1,5")</f>
        <v>27</v>
      </c>
      <c r="V211" s="110">
        <f>COUNTIFS(AC212:AC256,"&gt;=0,85",AC212:AC256,"&lt;0,995")</f>
        <v>5</v>
      </c>
      <c r="W211" s="110">
        <f>COUNTIFS(AC212:AC256,"&lt;0,85")</f>
        <v>3</v>
      </c>
      <c r="X211" s="49"/>
      <c r="Z211" s="100">
        <f>COUNTIFS(AD212:AD256,"&gt;=1,01")</f>
        <v>5</v>
      </c>
      <c r="AA211" s="100">
        <f>COUNTIFS(AD212:AD256,"&gt;=0,99",AD212:AD256,"&lt;1,01")</f>
        <v>1</v>
      </c>
      <c r="AB211" s="101">
        <f>COUNTIFS(AD212:AD256,"&lt;0,99")</f>
        <v>5</v>
      </c>
      <c r="AC211" s="67"/>
      <c r="AD211" s="67"/>
      <c r="AK211" s="47">
        <f>SUM(T211:X211)-R211</f>
        <v>-2</v>
      </c>
    </row>
    <row r="212" spans="1:37" ht="33.75" outlineLevel="2" x14ac:dyDescent="0.25">
      <c r="A212" s="262" t="s">
        <v>443</v>
      </c>
      <c r="B212" s="295" t="s">
        <v>879</v>
      </c>
      <c r="C212" s="296" t="s">
        <v>444</v>
      </c>
      <c r="D212" s="272" t="s">
        <v>319</v>
      </c>
      <c r="E212" s="246">
        <v>180.39</v>
      </c>
      <c r="F212" s="246">
        <v>46</v>
      </c>
      <c r="G212" s="246">
        <v>60.701999999999998</v>
      </c>
      <c r="H212" s="297">
        <f>G212/F212</f>
        <v>1.319608695652174</v>
      </c>
      <c r="I212" s="297">
        <f>G212/E212</f>
        <v>0.33650424081157493</v>
      </c>
      <c r="J212" s="298" t="s">
        <v>1760</v>
      </c>
      <c r="K212" s="298" t="s">
        <v>41</v>
      </c>
      <c r="L212" s="299" t="s">
        <v>80</v>
      </c>
      <c r="M212" s="40">
        <v>1</v>
      </c>
      <c r="N212" s="41">
        <f t="shared" si="106"/>
        <v>1</v>
      </c>
      <c r="O212" s="41">
        <f t="shared" si="107"/>
        <v>0.33650424081157493</v>
      </c>
      <c r="T212" s="426" t="s">
        <v>1789</v>
      </c>
      <c r="AC212" s="67">
        <f t="shared" si="81"/>
        <v>1.319608695652174</v>
      </c>
      <c r="AD212" s="67">
        <f t="shared" si="81"/>
        <v>0.33650424081157493</v>
      </c>
    </row>
    <row r="213" spans="1:37" ht="53.25" customHeight="1" outlineLevel="2" x14ac:dyDescent="0.25">
      <c r="A213" s="262" t="s">
        <v>445</v>
      </c>
      <c r="B213" s="295" t="s">
        <v>880</v>
      </c>
      <c r="C213" s="296" t="s">
        <v>881</v>
      </c>
      <c r="D213" s="272" t="s">
        <v>319</v>
      </c>
      <c r="E213" s="246">
        <v>15.59</v>
      </c>
      <c r="F213" s="246">
        <v>17.2</v>
      </c>
      <c r="G213" s="246">
        <v>16</v>
      </c>
      <c r="H213" s="297">
        <f t="shared" ref="H213:H214" si="113">G213/F213</f>
        <v>0.93023255813953487</v>
      </c>
      <c r="I213" s="297">
        <f t="shared" ref="I213:I214" si="114">G213/E213</f>
        <v>1.0262989095574087</v>
      </c>
      <c r="J213" s="298" t="s">
        <v>2067</v>
      </c>
      <c r="K213" s="489" t="s">
        <v>2068</v>
      </c>
      <c r="L213" s="39" t="s">
        <v>80</v>
      </c>
      <c r="M213" s="40">
        <v>1</v>
      </c>
      <c r="N213" s="41">
        <f t="shared" si="106"/>
        <v>0.93023255813953487</v>
      </c>
      <c r="O213" s="41">
        <f t="shared" si="107"/>
        <v>1.0262989095574087</v>
      </c>
      <c r="AC213" s="67">
        <f t="shared" ref="AC213:AD264" si="115">H213</f>
        <v>0.93023255813953487</v>
      </c>
      <c r="AD213" s="67">
        <f t="shared" si="115"/>
        <v>1.0262989095574087</v>
      </c>
    </row>
    <row r="214" spans="1:37" ht="45" outlineLevel="2" x14ac:dyDescent="0.25">
      <c r="A214" s="262" t="s">
        <v>447</v>
      </c>
      <c r="B214" s="42" t="s">
        <v>882</v>
      </c>
      <c r="C214" s="167" t="s">
        <v>883</v>
      </c>
      <c r="D214" s="289" t="s">
        <v>339</v>
      </c>
      <c r="E214" s="245">
        <v>57010</v>
      </c>
      <c r="F214" s="137">
        <v>11770</v>
      </c>
      <c r="G214" s="137">
        <v>33180</v>
      </c>
      <c r="H214" s="297">
        <f t="shared" si="113"/>
        <v>2.8190314358538657</v>
      </c>
      <c r="I214" s="297">
        <f t="shared" si="114"/>
        <v>0.58200315734081742</v>
      </c>
      <c r="J214" s="298" t="s">
        <v>1761</v>
      </c>
      <c r="K214" s="145" t="s">
        <v>41</v>
      </c>
      <c r="L214" s="39" t="s">
        <v>80</v>
      </c>
      <c r="M214" s="40">
        <v>1</v>
      </c>
      <c r="N214" s="41">
        <f t="shared" si="106"/>
        <v>1</v>
      </c>
      <c r="O214" s="41" t="s">
        <v>41</v>
      </c>
      <c r="AC214" s="67">
        <f t="shared" si="115"/>
        <v>2.8190314358538657</v>
      </c>
      <c r="AD214" s="67">
        <f t="shared" si="115"/>
        <v>0.58200315734081742</v>
      </c>
    </row>
    <row r="215" spans="1:37" ht="33.75" customHeight="1" outlineLevel="2" x14ac:dyDescent="0.25">
      <c r="A215" s="262" t="s">
        <v>1754</v>
      </c>
      <c r="B215" s="490" t="s">
        <v>1755</v>
      </c>
      <c r="C215" s="303" t="s">
        <v>321</v>
      </c>
      <c r="D215" s="272" t="s">
        <v>319</v>
      </c>
      <c r="E215" s="473" t="s">
        <v>41</v>
      </c>
      <c r="F215" s="473">
        <v>23.8</v>
      </c>
      <c r="G215" s="473">
        <v>23.8</v>
      </c>
      <c r="H215" s="297">
        <f t="shared" ref="H215" si="116">G215/F215</f>
        <v>1</v>
      </c>
      <c r="I215" s="297" t="s">
        <v>41</v>
      </c>
      <c r="J215" s="301" t="s">
        <v>41</v>
      </c>
      <c r="K215" s="301" t="s">
        <v>41</v>
      </c>
      <c r="L215" s="304" t="s">
        <v>467</v>
      </c>
      <c r="M215" s="40">
        <v>1</v>
      </c>
      <c r="N215" s="41">
        <f t="shared" si="106"/>
        <v>1</v>
      </c>
      <c r="O215" s="41" t="s">
        <v>41</v>
      </c>
      <c r="AC215" s="67">
        <f t="shared" si="115"/>
        <v>1</v>
      </c>
      <c r="AD215" s="67" t="str">
        <f t="shared" si="115"/>
        <v>-</v>
      </c>
    </row>
    <row r="216" spans="1:37" ht="45.75" customHeight="1" outlineLevel="2" x14ac:dyDescent="0.25">
      <c r="A216" s="262" t="s">
        <v>1756</v>
      </c>
      <c r="B216" s="302" t="s">
        <v>465</v>
      </c>
      <c r="C216" s="303" t="s">
        <v>321</v>
      </c>
      <c r="D216" s="272" t="s">
        <v>319</v>
      </c>
      <c r="E216" s="473" t="s">
        <v>41</v>
      </c>
      <c r="F216" s="473">
        <v>47.5</v>
      </c>
      <c r="G216" s="473">
        <v>47.5</v>
      </c>
      <c r="H216" s="297">
        <f>G216/F216</f>
        <v>1</v>
      </c>
      <c r="I216" s="297" t="s">
        <v>41</v>
      </c>
      <c r="J216" s="473" t="s">
        <v>41</v>
      </c>
      <c r="K216" s="473" t="s">
        <v>41</v>
      </c>
      <c r="L216" s="304" t="s">
        <v>467</v>
      </c>
      <c r="M216" s="40">
        <v>1</v>
      </c>
      <c r="N216" s="41">
        <f t="shared" ref="N216:N218" si="117">IF(H216&gt;1,1,H216)</f>
        <v>1</v>
      </c>
      <c r="O216" s="41" t="s">
        <v>41</v>
      </c>
      <c r="AC216" s="67">
        <f t="shared" si="115"/>
        <v>1</v>
      </c>
      <c r="AD216" s="67" t="str">
        <f t="shared" si="115"/>
        <v>-</v>
      </c>
    </row>
    <row r="217" spans="1:37" ht="45" outlineLevel="2" x14ac:dyDescent="0.25">
      <c r="A217" s="262" t="s">
        <v>449</v>
      </c>
      <c r="B217" s="302" t="s">
        <v>884</v>
      </c>
      <c r="C217" s="303" t="s">
        <v>321</v>
      </c>
      <c r="D217" s="157" t="s">
        <v>339</v>
      </c>
      <c r="E217" s="473">
        <v>100</v>
      </c>
      <c r="F217" s="473">
        <v>100</v>
      </c>
      <c r="G217" s="473">
        <v>100</v>
      </c>
      <c r="H217" s="297">
        <f>G217/F217</f>
        <v>1</v>
      </c>
      <c r="I217" s="297">
        <f>G217/E217</f>
        <v>1</v>
      </c>
      <c r="J217" s="473" t="s">
        <v>41</v>
      </c>
      <c r="K217" s="473" t="s">
        <v>41</v>
      </c>
      <c r="L217" s="304" t="s">
        <v>937</v>
      </c>
      <c r="M217" s="40">
        <v>0</v>
      </c>
      <c r="N217" s="41">
        <f t="shared" si="117"/>
        <v>1</v>
      </c>
      <c r="O217" s="41" t="s">
        <v>41</v>
      </c>
      <c r="AC217" s="67">
        <f t="shared" si="115"/>
        <v>1</v>
      </c>
      <c r="AD217" s="67" t="s">
        <v>41</v>
      </c>
    </row>
    <row r="218" spans="1:37" ht="22.5" outlineLevel="2" x14ac:dyDescent="0.25">
      <c r="A218" s="262" t="s">
        <v>1757</v>
      </c>
      <c r="B218" s="302" t="s">
        <v>1759</v>
      </c>
      <c r="C218" s="303" t="s">
        <v>343</v>
      </c>
      <c r="D218" s="272" t="s">
        <v>319</v>
      </c>
      <c r="E218" s="473" t="s">
        <v>41</v>
      </c>
      <c r="F218" s="473">
        <v>217</v>
      </c>
      <c r="G218" s="473">
        <v>217</v>
      </c>
      <c r="H218" s="297">
        <f>G218/F218</f>
        <v>1</v>
      </c>
      <c r="I218" s="297" t="s">
        <v>41</v>
      </c>
      <c r="J218" s="473" t="s">
        <v>41</v>
      </c>
      <c r="K218" s="473" t="s">
        <v>41</v>
      </c>
      <c r="L218" s="304" t="s">
        <v>467</v>
      </c>
      <c r="M218" s="40">
        <v>1</v>
      </c>
      <c r="N218" s="41">
        <f t="shared" si="117"/>
        <v>1</v>
      </c>
      <c r="O218" s="41" t="s">
        <v>41</v>
      </c>
      <c r="AC218" s="67">
        <f t="shared" si="115"/>
        <v>1</v>
      </c>
      <c r="AD218" s="67" t="str">
        <f t="shared" si="115"/>
        <v>-</v>
      </c>
    </row>
    <row r="219" spans="1:37" ht="70.5" customHeight="1" outlineLevel="2" x14ac:dyDescent="0.25">
      <c r="A219" s="262" t="s">
        <v>1758</v>
      </c>
      <c r="B219" s="302" t="s">
        <v>469</v>
      </c>
      <c r="C219" s="303" t="s">
        <v>321</v>
      </c>
      <c r="D219" s="272" t="s">
        <v>319</v>
      </c>
      <c r="E219" s="137" t="s">
        <v>41</v>
      </c>
      <c r="F219" s="137">
        <v>25</v>
      </c>
      <c r="G219" s="137">
        <v>25.8</v>
      </c>
      <c r="H219" s="297">
        <f>G219/F219</f>
        <v>1.032</v>
      </c>
      <c r="I219" s="297" t="s">
        <v>41</v>
      </c>
      <c r="J219" s="137" t="s">
        <v>41</v>
      </c>
      <c r="K219" s="137" t="s">
        <v>41</v>
      </c>
      <c r="L219" s="304" t="s">
        <v>467</v>
      </c>
      <c r="M219" s="40">
        <v>0</v>
      </c>
      <c r="N219" s="41">
        <f t="shared" si="106"/>
        <v>1</v>
      </c>
      <c r="O219" s="41" t="s">
        <v>41</v>
      </c>
      <c r="AC219" s="67">
        <f t="shared" si="115"/>
        <v>1.032</v>
      </c>
      <c r="AD219" s="67" t="str">
        <f t="shared" si="115"/>
        <v>-</v>
      </c>
    </row>
    <row r="220" spans="1:37" s="47" customFormat="1" outlineLevel="1" x14ac:dyDescent="0.25">
      <c r="A220" s="68" t="s">
        <v>141</v>
      </c>
      <c r="B220" s="571" t="s">
        <v>885</v>
      </c>
      <c r="C220" s="571"/>
      <c r="D220" s="571"/>
      <c r="E220" s="571"/>
      <c r="F220" s="571"/>
      <c r="G220" s="571"/>
      <c r="H220" s="77">
        <f>AVERAGE(N221:N231)</f>
        <v>0.96546024242265949</v>
      </c>
      <c r="I220" s="77">
        <f>AVERAGE(O221:O231)</f>
        <v>1.0003714982911951</v>
      </c>
      <c r="J220" s="70"/>
      <c r="K220" s="70"/>
      <c r="L220" s="71"/>
      <c r="M220" s="64"/>
      <c r="N220" s="212"/>
      <c r="O220" s="212"/>
      <c r="P220" s="49"/>
      <c r="Q220" s="49"/>
      <c r="R220" s="104">
        <f>COUNTA(C221:C231)</f>
        <v>11</v>
      </c>
      <c r="S220" s="103">
        <v>0</v>
      </c>
      <c r="T220" s="104">
        <f>COUNTIFS(AC221:AC231,"&gt;1,50")</f>
        <v>2</v>
      </c>
      <c r="U220" s="104">
        <f>COUNTIFS(AC221:AC231,"&gt;=0,995",AC221:AC231,"&lt;=1,5")</f>
        <v>5</v>
      </c>
      <c r="V220" s="104">
        <f>COUNTIFS(AC221:AC231,"&gt;=0,85",AC221:AC231,"&lt;0,995")</f>
        <v>3</v>
      </c>
      <c r="W220" s="104">
        <f>COUNTIFS(AC221:AC231,"&lt;0,85")</f>
        <v>1</v>
      </c>
      <c r="X220" s="52"/>
      <c r="Z220" s="96">
        <f>COUNTIFS(AD221:AD231,"&gt;=1,01")</f>
        <v>1</v>
      </c>
      <c r="AA220" s="96">
        <f>COUNTIFS(AD221:AD231,"&gt;=0,99",AD221:AD231,"&lt;1,01")</f>
        <v>1</v>
      </c>
      <c r="AB220" s="97">
        <f>COUNTIFS(AD221:AD231,"&lt;0,99")</f>
        <v>2</v>
      </c>
      <c r="AC220" s="67"/>
      <c r="AD220" s="67"/>
      <c r="AK220" s="47">
        <f>SUM(T220:X220)-R220</f>
        <v>0</v>
      </c>
    </row>
    <row r="221" spans="1:37" ht="39.75" customHeight="1" outlineLevel="2" x14ac:dyDescent="0.25">
      <c r="A221" s="262" t="s">
        <v>450</v>
      </c>
      <c r="B221" s="38" t="s">
        <v>886</v>
      </c>
      <c r="C221" s="167" t="s">
        <v>887</v>
      </c>
      <c r="D221" s="289" t="s">
        <v>339</v>
      </c>
      <c r="E221" s="167">
        <v>4</v>
      </c>
      <c r="F221" s="305">
        <v>4</v>
      </c>
      <c r="G221" s="305">
        <v>4</v>
      </c>
      <c r="H221" s="297">
        <f t="shared" ref="H221:H225" si="118">G221/F221</f>
        <v>1</v>
      </c>
      <c r="I221" s="297">
        <f t="shared" ref="I221:I224" si="119">G221/E221</f>
        <v>1</v>
      </c>
      <c r="J221" s="167" t="s">
        <v>41</v>
      </c>
      <c r="K221" s="167" t="s">
        <v>41</v>
      </c>
      <c r="L221" s="304" t="s">
        <v>80</v>
      </c>
      <c r="M221" s="40">
        <v>0</v>
      </c>
      <c r="N221" s="41">
        <f t="shared" ref="N221:N225" si="120">IF(H221&gt;1,1,H221)</f>
        <v>1</v>
      </c>
      <c r="O221" s="41" t="s">
        <v>41</v>
      </c>
      <c r="AC221" s="67">
        <f t="shared" si="115"/>
        <v>1</v>
      </c>
      <c r="AD221" s="67"/>
    </row>
    <row r="222" spans="1:37" ht="54" customHeight="1" outlineLevel="2" x14ac:dyDescent="0.25">
      <c r="A222" s="262" t="s">
        <v>451</v>
      </c>
      <c r="B222" s="38" t="s">
        <v>1762</v>
      </c>
      <c r="C222" s="308" t="s">
        <v>321</v>
      </c>
      <c r="D222" s="272" t="s">
        <v>319</v>
      </c>
      <c r="E222" s="306">
        <v>29.1</v>
      </c>
      <c r="F222" s="307">
        <v>34.1</v>
      </c>
      <c r="G222" s="307">
        <v>32.159999999999997</v>
      </c>
      <c r="H222" s="297">
        <f t="shared" si="118"/>
        <v>0.94310850439882687</v>
      </c>
      <c r="I222" s="297">
        <f t="shared" si="119"/>
        <v>1.1051546391752576</v>
      </c>
      <c r="J222" s="167" t="s">
        <v>1763</v>
      </c>
      <c r="K222" s="167" t="s">
        <v>2069</v>
      </c>
      <c r="L222" s="304" t="s">
        <v>80</v>
      </c>
      <c r="M222" s="40">
        <v>0</v>
      </c>
      <c r="N222" s="41">
        <f t="shared" si="120"/>
        <v>0.94310850439882687</v>
      </c>
      <c r="O222" s="41">
        <f t="shared" ref="O222:O224" si="121">IF(I222&gt;1.25,1.25,I222)</f>
        <v>1.1051546391752576</v>
      </c>
      <c r="AC222" s="67">
        <f t="shared" si="115"/>
        <v>0.94310850439882687</v>
      </c>
      <c r="AD222" s="67">
        <f t="shared" si="115"/>
        <v>1.1051546391752576</v>
      </c>
    </row>
    <row r="223" spans="1:37" ht="81.75" customHeight="1" outlineLevel="2" x14ac:dyDescent="0.25">
      <c r="A223" s="262" t="s">
        <v>452</v>
      </c>
      <c r="B223" s="309" t="s">
        <v>888</v>
      </c>
      <c r="C223" s="310" t="s">
        <v>321</v>
      </c>
      <c r="D223" s="272" t="s">
        <v>319</v>
      </c>
      <c r="E223" s="137">
        <v>120</v>
      </c>
      <c r="F223" s="137">
        <v>79.599999999999994</v>
      </c>
      <c r="G223" s="137">
        <v>79.599999999999994</v>
      </c>
      <c r="H223" s="297">
        <f t="shared" si="118"/>
        <v>1</v>
      </c>
      <c r="I223" s="142">
        <f t="shared" si="119"/>
        <v>0.66333333333333333</v>
      </c>
      <c r="J223" s="167" t="s">
        <v>1764</v>
      </c>
      <c r="K223" s="137" t="s">
        <v>41</v>
      </c>
      <c r="L223" s="240" t="s">
        <v>80</v>
      </c>
      <c r="M223" s="40">
        <v>1</v>
      </c>
      <c r="N223" s="41">
        <f t="shared" si="120"/>
        <v>1</v>
      </c>
      <c r="O223" s="41" t="s">
        <v>41</v>
      </c>
      <c r="AC223" s="67">
        <f t="shared" si="115"/>
        <v>1</v>
      </c>
      <c r="AD223" s="67">
        <f t="shared" si="115"/>
        <v>0.66333333333333333</v>
      </c>
    </row>
    <row r="224" spans="1:37" ht="67.5" outlineLevel="2" x14ac:dyDescent="0.25">
      <c r="A224" s="262" t="s">
        <v>453</v>
      </c>
      <c r="B224" s="38" t="s">
        <v>456</v>
      </c>
      <c r="C224" s="167" t="s">
        <v>365</v>
      </c>
      <c r="D224" s="272" t="s">
        <v>319</v>
      </c>
      <c r="E224" s="137">
        <v>91</v>
      </c>
      <c r="F224" s="137">
        <v>79</v>
      </c>
      <c r="G224" s="137">
        <v>81</v>
      </c>
      <c r="H224" s="297">
        <f t="shared" si="118"/>
        <v>1.0253164556962024</v>
      </c>
      <c r="I224" s="142">
        <f t="shared" si="119"/>
        <v>0.89010989010989006</v>
      </c>
      <c r="J224" s="137" t="s">
        <v>1764</v>
      </c>
      <c r="K224" s="419" t="s">
        <v>41</v>
      </c>
      <c r="L224" s="240" t="s">
        <v>80</v>
      </c>
      <c r="M224" s="40">
        <v>1</v>
      </c>
      <c r="N224" s="41">
        <f t="shared" si="120"/>
        <v>1</v>
      </c>
      <c r="O224" s="41">
        <f t="shared" si="121"/>
        <v>0.89010989010989006</v>
      </c>
      <c r="AC224" s="67">
        <f t="shared" si="115"/>
        <v>1.0253164556962024</v>
      </c>
      <c r="AD224" s="67">
        <f t="shared" si="115"/>
        <v>0.89010989010989006</v>
      </c>
    </row>
    <row r="225" spans="1:37" ht="56.25" outlineLevel="2" x14ac:dyDescent="0.25">
      <c r="A225" s="262" t="s">
        <v>454</v>
      </c>
      <c r="B225" s="311" t="s">
        <v>889</v>
      </c>
      <c r="C225" s="312" t="s">
        <v>365</v>
      </c>
      <c r="D225" s="313" t="s">
        <v>339</v>
      </c>
      <c r="E225" s="314">
        <v>67</v>
      </c>
      <c r="F225" s="314">
        <v>65</v>
      </c>
      <c r="G225" s="137">
        <v>48</v>
      </c>
      <c r="H225" s="297">
        <f t="shared" si="118"/>
        <v>0.7384615384615385</v>
      </c>
      <c r="I225" s="142" t="s">
        <v>41</v>
      </c>
      <c r="J225" s="473" t="s">
        <v>1764</v>
      </c>
      <c r="K225" s="419" t="s">
        <v>41</v>
      </c>
      <c r="L225" s="304" t="s">
        <v>80</v>
      </c>
      <c r="M225" s="40">
        <v>0</v>
      </c>
      <c r="N225" s="41">
        <f t="shared" si="120"/>
        <v>0.7384615384615385</v>
      </c>
      <c r="O225" s="41" t="s">
        <v>41</v>
      </c>
      <c r="AC225" s="67">
        <f t="shared" si="115"/>
        <v>0.7384615384615385</v>
      </c>
      <c r="AD225" s="67" t="str">
        <f t="shared" si="115"/>
        <v>-</v>
      </c>
    </row>
    <row r="226" spans="1:37" ht="56.25" outlineLevel="2" x14ac:dyDescent="0.25">
      <c r="A226" s="262" t="s">
        <v>455</v>
      </c>
      <c r="B226" s="42" t="s">
        <v>890</v>
      </c>
      <c r="C226" s="308" t="s">
        <v>343</v>
      </c>
      <c r="D226" s="316" t="s">
        <v>339</v>
      </c>
      <c r="E226" s="473">
        <v>728</v>
      </c>
      <c r="F226" s="473">
        <v>287</v>
      </c>
      <c r="G226" s="473">
        <v>424</v>
      </c>
      <c r="H226" s="286">
        <f>G226/F226</f>
        <v>1.4773519163763067</v>
      </c>
      <c r="I226" s="142" t="s">
        <v>41</v>
      </c>
      <c r="J226" s="298" t="s">
        <v>41</v>
      </c>
      <c r="K226" s="419" t="s">
        <v>41</v>
      </c>
      <c r="L226" s="304" t="s">
        <v>80</v>
      </c>
      <c r="M226" s="78">
        <v>0</v>
      </c>
      <c r="N226" s="41">
        <f>IF(H226&gt;1,1,H226)</f>
        <v>1</v>
      </c>
      <c r="O226" s="41" t="s">
        <v>41</v>
      </c>
      <c r="AC226" s="67">
        <f t="shared" si="115"/>
        <v>1.4773519163763067</v>
      </c>
      <c r="AD226" s="67" t="str">
        <f t="shared" si="115"/>
        <v>-</v>
      </c>
    </row>
    <row r="227" spans="1:37" ht="45" outlineLevel="2" x14ac:dyDescent="0.25">
      <c r="A227" s="262" t="s">
        <v>1765</v>
      </c>
      <c r="B227" s="315" t="s">
        <v>1766</v>
      </c>
      <c r="C227" s="167" t="s">
        <v>343</v>
      </c>
      <c r="D227" s="272" t="s">
        <v>319</v>
      </c>
      <c r="E227" s="314">
        <v>87.18</v>
      </c>
      <c r="F227" s="314">
        <v>89.3</v>
      </c>
      <c r="G227" s="314">
        <v>87.69</v>
      </c>
      <c r="H227" s="297">
        <f t="shared" ref="H227:H228" si="122">G227/F227</f>
        <v>0.98197088465845461</v>
      </c>
      <c r="I227" s="142">
        <f t="shared" ref="I227:I230" si="123">G227/E227</f>
        <v>1.0058499655884376</v>
      </c>
      <c r="J227" s="244" t="s">
        <v>1767</v>
      </c>
      <c r="K227" s="314" t="s">
        <v>41</v>
      </c>
      <c r="L227" s="39" t="s">
        <v>937</v>
      </c>
      <c r="M227" s="40">
        <v>1</v>
      </c>
      <c r="N227" s="41">
        <f t="shared" ref="N227" si="124">IF(H227&gt;1,1,H227)</f>
        <v>0.98197088465845461</v>
      </c>
      <c r="O227" s="41">
        <f t="shared" ref="O227" si="125">IF(I227&gt;1.25,1.25,I227)</f>
        <v>1.0058499655884376</v>
      </c>
      <c r="AC227" s="67">
        <f t="shared" si="115"/>
        <v>0.98197088465845461</v>
      </c>
      <c r="AD227" s="67">
        <f t="shared" si="115"/>
        <v>1.0058499655884376</v>
      </c>
    </row>
    <row r="228" spans="1:37" ht="56.25" outlineLevel="2" x14ac:dyDescent="0.25">
      <c r="A228" s="262" t="s">
        <v>1205</v>
      </c>
      <c r="B228" s="315" t="s">
        <v>984</v>
      </c>
      <c r="C228" s="167" t="s">
        <v>343</v>
      </c>
      <c r="D228" s="316" t="s">
        <v>339</v>
      </c>
      <c r="E228" s="314">
        <v>2</v>
      </c>
      <c r="F228" s="314">
        <v>1</v>
      </c>
      <c r="G228" s="314">
        <v>1</v>
      </c>
      <c r="H228" s="297">
        <f t="shared" si="122"/>
        <v>1</v>
      </c>
      <c r="I228" s="142">
        <f t="shared" si="123"/>
        <v>0.5</v>
      </c>
      <c r="J228" s="314" t="s">
        <v>41</v>
      </c>
      <c r="K228" s="419" t="s">
        <v>41</v>
      </c>
      <c r="L228" s="39" t="s">
        <v>80</v>
      </c>
      <c r="M228" s="40">
        <v>0</v>
      </c>
      <c r="N228" s="41">
        <f>IF(H228&gt;1,1,H228)</f>
        <v>1</v>
      </c>
      <c r="O228" s="176" t="s">
        <v>41</v>
      </c>
      <c r="AC228" s="67">
        <f t="shared" si="115"/>
        <v>1</v>
      </c>
      <c r="AD228" s="67" t="s">
        <v>41</v>
      </c>
    </row>
    <row r="229" spans="1:37" ht="67.5" outlineLevel="2" x14ac:dyDescent="0.25">
      <c r="A229" s="262" t="s">
        <v>983</v>
      </c>
      <c r="B229" s="315" t="s">
        <v>1206</v>
      </c>
      <c r="C229" s="167" t="s">
        <v>343</v>
      </c>
      <c r="D229" s="316" t="s">
        <v>339</v>
      </c>
      <c r="E229" s="314">
        <v>41</v>
      </c>
      <c r="F229" s="314">
        <v>46</v>
      </c>
      <c r="G229" s="314">
        <v>44</v>
      </c>
      <c r="H229" s="286">
        <f>G229/F229</f>
        <v>0.95652173913043481</v>
      </c>
      <c r="I229" s="142">
        <f t="shared" si="123"/>
        <v>1.0731707317073171</v>
      </c>
      <c r="J229" s="314" t="s">
        <v>1768</v>
      </c>
      <c r="K229" s="420" t="s">
        <v>41</v>
      </c>
      <c r="L229" s="39" t="s">
        <v>80</v>
      </c>
      <c r="M229" s="40">
        <v>0</v>
      </c>
      <c r="N229" s="41">
        <f>IF(H229&gt;1,1,H229)</f>
        <v>0.95652173913043481</v>
      </c>
      <c r="O229" s="176" t="s">
        <v>41</v>
      </c>
      <c r="AC229" s="67">
        <f t="shared" si="115"/>
        <v>0.95652173913043481</v>
      </c>
      <c r="AD229" s="67" t="s">
        <v>41</v>
      </c>
    </row>
    <row r="230" spans="1:37" ht="22.5" outlineLevel="2" x14ac:dyDescent="0.25">
      <c r="A230" s="262" t="s">
        <v>1207</v>
      </c>
      <c r="B230" s="315" t="s">
        <v>1208</v>
      </c>
      <c r="C230" s="167" t="s">
        <v>343</v>
      </c>
      <c r="D230" s="316" t="s">
        <v>339</v>
      </c>
      <c r="E230" s="314">
        <v>172</v>
      </c>
      <c r="F230" s="314">
        <v>200</v>
      </c>
      <c r="G230" s="314">
        <v>462</v>
      </c>
      <c r="H230" s="286">
        <f>G230/F230</f>
        <v>2.31</v>
      </c>
      <c r="I230" s="142">
        <f t="shared" si="123"/>
        <v>2.6860465116279069</v>
      </c>
      <c r="J230" s="314" t="s">
        <v>41</v>
      </c>
      <c r="K230" s="314" t="s">
        <v>41</v>
      </c>
      <c r="L230" s="39" t="s">
        <v>80</v>
      </c>
      <c r="M230" s="40">
        <v>0</v>
      </c>
      <c r="N230" s="41">
        <f>IF(H230&gt;1,1,H230)</f>
        <v>1</v>
      </c>
      <c r="O230" s="176" t="s">
        <v>41</v>
      </c>
      <c r="AC230" s="67">
        <f t="shared" si="115"/>
        <v>2.31</v>
      </c>
      <c r="AD230" s="67" t="s">
        <v>41</v>
      </c>
    </row>
    <row r="231" spans="1:37" ht="63.75" customHeight="1" outlineLevel="2" x14ac:dyDescent="0.25">
      <c r="A231" s="262" t="s">
        <v>1209</v>
      </c>
      <c r="B231" s="315" t="s">
        <v>1533</v>
      </c>
      <c r="C231" s="167" t="s">
        <v>1534</v>
      </c>
      <c r="D231" s="272" t="s">
        <v>319</v>
      </c>
      <c r="E231" s="314" t="s">
        <v>41</v>
      </c>
      <c r="F231" s="314">
        <v>0.107</v>
      </c>
      <c r="G231" s="314">
        <v>0.17</v>
      </c>
      <c r="H231" s="286">
        <f>G231/F231</f>
        <v>1.5887850467289721</v>
      </c>
      <c r="I231" s="286" t="s">
        <v>41</v>
      </c>
      <c r="J231" s="314" t="s">
        <v>41</v>
      </c>
      <c r="K231" s="314" t="s">
        <v>41</v>
      </c>
      <c r="L231" s="39" t="s">
        <v>80</v>
      </c>
      <c r="M231" s="40">
        <v>0</v>
      </c>
      <c r="N231" s="41">
        <f>IF(H231&gt;1,1,H231)</f>
        <v>1</v>
      </c>
      <c r="O231" s="176" t="s">
        <v>41</v>
      </c>
      <c r="AC231" s="67">
        <f t="shared" si="115"/>
        <v>1.5887850467289721</v>
      </c>
      <c r="AD231" s="67" t="str">
        <f t="shared" si="115"/>
        <v>-</v>
      </c>
    </row>
    <row r="232" spans="1:37" s="47" customFormat="1" ht="22.5" customHeight="1" outlineLevel="1" x14ac:dyDescent="0.25">
      <c r="A232" s="172" t="s">
        <v>142</v>
      </c>
      <c r="B232" s="583" t="s">
        <v>891</v>
      </c>
      <c r="C232" s="584"/>
      <c r="D232" s="584"/>
      <c r="E232" s="584"/>
      <c r="F232" s="584"/>
      <c r="G232" s="585"/>
      <c r="H232" s="173">
        <f>AVERAGE(N233:N238)</f>
        <v>0.98469387755102034</v>
      </c>
      <c r="I232" s="173">
        <f>AVERAGE(O233:O238)</f>
        <v>0.92708333333333337</v>
      </c>
      <c r="J232" s="174"/>
      <c r="K232" s="174"/>
      <c r="L232" s="175"/>
      <c r="M232" s="132"/>
      <c r="N232" s="212"/>
      <c r="O232" s="212"/>
      <c r="P232" s="49"/>
      <c r="Q232" s="49"/>
      <c r="R232" s="104">
        <f>COUNTA(C233:C238)</f>
        <v>6</v>
      </c>
      <c r="S232" s="103"/>
      <c r="T232" s="104">
        <f>COUNTIFS(AC233:AC238,"&gt;1,50")</f>
        <v>0</v>
      </c>
      <c r="U232" s="104">
        <f>COUNTIFS(AC233:AC238,"&gt;=0,995",AC233:AC238,"&lt;=1,5")</f>
        <v>5</v>
      </c>
      <c r="V232" s="104">
        <f>COUNTIFS(AC233:AC238,"&gt;=0,85",AC233:AC238,"&lt;0,995")</f>
        <v>1</v>
      </c>
      <c r="W232" s="104">
        <f>COUNTIFS(AC233:AC238,"&lt;0,85")</f>
        <v>0</v>
      </c>
      <c r="X232" s="52"/>
      <c r="Z232" s="96">
        <f>COUNTIFS(AD233:AD238,"&gt;=1,01")</f>
        <v>0</v>
      </c>
      <c r="AA232" s="96">
        <f>COUNTIFS(AD233:AD238,"&gt;=0,99",AD233:AD238,"&lt;1,01")</f>
        <v>0</v>
      </c>
      <c r="AB232" s="97">
        <f>COUNTIFS(AD233:AD238,"&lt;0,99")</f>
        <v>1</v>
      </c>
      <c r="AC232" s="67"/>
      <c r="AD232" s="67"/>
      <c r="AK232" s="47">
        <f>SUM(T232:X232)-R232</f>
        <v>0</v>
      </c>
    </row>
    <row r="233" spans="1:37" ht="45" outlineLevel="2" x14ac:dyDescent="0.25">
      <c r="A233" s="262" t="s">
        <v>1770</v>
      </c>
      <c r="B233" s="243" t="s">
        <v>1769</v>
      </c>
      <c r="C233" s="473" t="s">
        <v>887</v>
      </c>
      <c r="D233" s="313" t="s">
        <v>339</v>
      </c>
      <c r="E233" s="137" t="s">
        <v>41</v>
      </c>
      <c r="F233" s="137">
        <v>115</v>
      </c>
      <c r="G233" s="137">
        <v>122</v>
      </c>
      <c r="H233" s="297">
        <f t="shared" ref="H233:H237" si="126">G233/F233</f>
        <v>1.0608695652173914</v>
      </c>
      <c r="I233" s="142" t="s">
        <v>41</v>
      </c>
      <c r="J233" s="137" t="s">
        <v>41</v>
      </c>
      <c r="K233" s="137" t="s">
        <v>41</v>
      </c>
      <c r="L233" s="304" t="s">
        <v>467</v>
      </c>
      <c r="M233" s="40">
        <v>0</v>
      </c>
      <c r="N233" s="41">
        <f t="shared" ref="N233:N238" si="127">IF(H233&gt;1,1,H233)</f>
        <v>1</v>
      </c>
      <c r="O233" s="41" t="s">
        <v>41</v>
      </c>
      <c r="AC233" s="67">
        <f t="shared" si="115"/>
        <v>1.0608695652173914</v>
      </c>
      <c r="AD233" s="67" t="str">
        <f t="shared" si="115"/>
        <v>-</v>
      </c>
    </row>
    <row r="234" spans="1:37" ht="33.75" outlineLevel="2" x14ac:dyDescent="0.25">
      <c r="A234" s="262" t="s">
        <v>1771</v>
      </c>
      <c r="B234" s="165" t="s">
        <v>1772</v>
      </c>
      <c r="C234" s="137" t="s">
        <v>887</v>
      </c>
      <c r="D234" s="313" t="s">
        <v>339</v>
      </c>
      <c r="E234" s="137" t="s">
        <v>41</v>
      </c>
      <c r="F234" s="137">
        <v>8</v>
      </c>
      <c r="G234" s="137">
        <v>8</v>
      </c>
      <c r="H234" s="297">
        <f t="shared" si="126"/>
        <v>1</v>
      </c>
      <c r="I234" s="142" t="s">
        <v>41</v>
      </c>
      <c r="J234" s="145" t="s">
        <v>41</v>
      </c>
      <c r="K234" s="166" t="s">
        <v>41</v>
      </c>
      <c r="L234" s="304" t="s">
        <v>467</v>
      </c>
      <c r="M234" s="40">
        <v>0</v>
      </c>
      <c r="N234" s="41">
        <f t="shared" si="127"/>
        <v>1</v>
      </c>
      <c r="O234" s="41" t="s">
        <v>41</v>
      </c>
      <c r="AC234" s="67">
        <f t="shared" si="115"/>
        <v>1</v>
      </c>
      <c r="AD234" s="67" t="str">
        <f t="shared" si="115"/>
        <v>-</v>
      </c>
    </row>
    <row r="235" spans="1:37" ht="112.5" outlineLevel="2" x14ac:dyDescent="0.25">
      <c r="A235" s="262" t="s">
        <v>893</v>
      </c>
      <c r="B235" s="317" t="s">
        <v>1773</v>
      </c>
      <c r="C235" s="167" t="s">
        <v>892</v>
      </c>
      <c r="D235" s="272" t="s">
        <v>319</v>
      </c>
      <c r="E235" s="473">
        <v>96</v>
      </c>
      <c r="F235" s="473">
        <v>98</v>
      </c>
      <c r="G235" s="473">
        <v>89</v>
      </c>
      <c r="H235" s="297">
        <f t="shared" ref="H235" si="128">G235/F235</f>
        <v>0.90816326530612246</v>
      </c>
      <c r="I235" s="142">
        <f t="shared" ref="I235:I236" si="129">G235/E235</f>
        <v>0.92708333333333337</v>
      </c>
      <c r="J235" s="318" t="s">
        <v>1778</v>
      </c>
      <c r="K235" s="319" t="s">
        <v>1779</v>
      </c>
      <c r="L235" s="304" t="s">
        <v>80</v>
      </c>
      <c r="M235" s="40">
        <v>1</v>
      </c>
      <c r="N235" s="41">
        <f t="shared" ref="N235:N236" si="130">IF(H235&gt;1,1,H235)</f>
        <v>0.90816326530612246</v>
      </c>
      <c r="O235" s="41">
        <f t="shared" ref="O235" si="131">IF(I235&gt;1.25,1.25,I235)</f>
        <v>0.92708333333333337</v>
      </c>
      <c r="AC235" s="67">
        <f t="shared" si="115"/>
        <v>0.90816326530612246</v>
      </c>
      <c r="AD235" s="67">
        <f>O235</f>
        <v>0.92708333333333337</v>
      </c>
    </row>
    <row r="236" spans="1:37" ht="33.75" outlineLevel="2" x14ac:dyDescent="0.25">
      <c r="A236" s="262" t="s">
        <v>1774</v>
      </c>
      <c r="B236" s="317" t="s">
        <v>1775</v>
      </c>
      <c r="C236" s="167" t="s">
        <v>457</v>
      </c>
      <c r="D236" s="313" t="s">
        <v>339</v>
      </c>
      <c r="E236" s="473">
        <v>1</v>
      </c>
      <c r="F236" s="473">
        <v>1</v>
      </c>
      <c r="G236" s="473">
        <v>1</v>
      </c>
      <c r="H236" s="297">
        <f t="shared" ref="H236" si="132">G236/F236</f>
        <v>1</v>
      </c>
      <c r="I236" s="142">
        <f t="shared" si="129"/>
        <v>1</v>
      </c>
      <c r="J236" s="318" t="s">
        <v>41</v>
      </c>
      <c r="K236" s="319" t="s">
        <v>41</v>
      </c>
      <c r="L236" s="304" t="s">
        <v>467</v>
      </c>
      <c r="M236" s="40">
        <v>0</v>
      </c>
      <c r="N236" s="41">
        <f t="shared" si="130"/>
        <v>1</v>
      </c>
      <c r="O236" s="41" t="s">
        <v>41</v>
      </c>
      <c r="AC236" s="67">
        <f t="shared" si="115"/>
        <v>1</v>
      </c>
      <c r="AD236" s="67" t="s">
        <v>41</v>
      </c>
    </row>
    <row r="237" spans="1:37" ht="26.25" customHeight="1" outlineLevel="2" x14ac:dyDescent="0.25">
      <c r="A237" s="262" t="s">
        <v>894</v>
      </c>
      <c r="B237" s="317" t="s">
        <v>1587</v>
      </c>
      <c r="C237" s="167" t="s">
        <v>343</v>
      </c>
      <c r="D237" s="313" t="s">
        <v>339</v>
      </c>
      <c r="E237" s="137">
        <v>38</v>
      </c>
      <c r="F237" s="137">
        <v>2</v>
      </c>
      <c r="G237" s="137">
        <v>3</v>
      </c>
      <c r="H237" s="297">
        <f t="shared" si="126"/>
        <v>1.5</v>
      </c>
      <c r="I237" s="142" t="s">
        <v>41</v>
      </c>
      <c r="J237" s="318" t="s">
        <v>41</v>
      </c>
      <c r="K237" s="319" t="s">
        <v>41</v>
      </c>
      <c r="L237" s="304" t="s">
        <v>80</v>
      </c>
      <c r="M237" s="40">
        <v>0</v>
      </c>
      <c r="N237" s="41">
        <f t="shared" si="127"/>
        <v>1</v>
      </c>
      <c r="O237" s="41" t="s">
        <v>41</v>
      </c>
      <c r="AC237" s="67">
        <f t="shared" si="115"/>
        <v>1.5</v>
      </c>
      <c r="AD237" s="67" t="str">
        <f t="shared" si="115"/>
        <v>-</v>
      </c>
    </row>
    <row r="238" spans="1:37" ht="22.5" outlineLevel="2" x14ac:dyDescent="0.25">
      <c r="A238" s="262" t="s">
        <v>1776</v>
      </c>
      <c r="B238" s="311" t="s">
        <v>1777</v>
      </c>
      <c r="C238" s="320" t="s">
        <v>343</v>
      </c>
      <c r="D238" s="313" t="s">
        <v>339</v>
      </c>
      <c r="E238" s="137" t="s">
        <v>41</v>
      </c>
      <c r="F238" s="137">
        <v>50</v>
      </c>
      <c r="G238" s="137">
        <v>56</v>
      </c>
      <c r="H238" s="297">
        <f>G238/F238</f>
        <v>1.1200000000000001</v>
      </c>
      <c r="I238" s="300" t="s">
        <v>41</v>
      </c>
      <c r="J238" s="145" t="s">
        <v>41</v>
      </c>
      <c r="K238" s="321" t="s">
        <v>41</v>
      </c>
      <c r="L238" s="304" t="s">
        <v>467</v>
      </c>
      <c r="M238" s="40">
        <v>0</v>
      </c>
      <c r="N238" s="41">
        <f t="shared" si="127"/>
        <v>1</v>
      </c>
      <c r="O238" s="41" t="s">
        <v>41</v>
      </c>
      <c r="AC238" s="67">
        <f t="shared" si="115"/>
        <v>1.1200000000000001</v>
      </c>
      <c r="AD238" s="67" t="str">
        <f t="shared" si="115"/>
        <v>-</v>
      </c>
    </row>
    <row r="239" spans="1:37" s="47" customFormat="1" ht="23.25" customHeight="1" outlineLevel="1" x14ac:dyDescent="0.25">
      <c r="A239" s="68" t="s">
        <v>269</v>
      </c>
      <c r="B239" s="571" t="s">
        <v>895</v>
      </c>
      <c r="C239" s="571"/>
      <c r="D239" s="571"/>
      <c r="E239" s="571"/>
      <c r="F239" s="571"/>
      <c r="G239" s="571"/>
      <c r="H239" s="69">
        <f>AVERAGE(N240:N242)</f>
        <v>0.79199512012012008</v>
      </c>
      <c r="I239" s="69">
        <v>1</v>
      </c>
      <c r="J239" s="70"/>
      <c r="K239" s="70"/>
      <c r="L239" s="71"/>
      <c r="M239" s="64"/>
      <c r="N239" s="212"/>
      <c r="O239" s="212"/>
      <c r="P239" s="49"/>
      <c r="Q239" s="49"/>
      <c r="R239" s="104">
        <f>COUNTA(C240:C242)</f>
        <v>3</v>
      </c>
      <c r="S239" s="103">
        <v>0</v>
      </c>
      <c r="T239" s="104">
        <f>COUNTIFS(AC240:AC242,"&gt;1,50")</f>
        <v>0</v>
      </c>
      <c r="U239" s="104">
        <f>COUNTIFS(AC240:AC242,"&gt;=0,995",AC240:AC242,"&lt;=1,5")</f>
        <v>2</v>
      </c>
      <c r="V239" s="104">
        <f>COUNTIFS(AC240:AC242,"&gt;=0,85",AC240:AC242,"&lt;0,995")</f>
        <v>0</v>
      </c>
      <c r="W239" s="104">
        <f>COUNTIFS(AC240:AC242,"&lt;0,85")</f>
        <v>1</v>
      </c>
      <c r="X239" s="52"/>
      <c r="Z239" s="96">
        <f>COUNTIFS(AD240:AD242,"&gt;=1,01")</f>
        <v>0</v>
      </c>
      <c r="AA239" s="96">
        <f>COUNTIFS(AD240:AD242,"&gt;=0,99",AD240:AD242,"&lt;1,01")</f>
        <v>0</v>
      </c>
      <c r="AB239" s="97">
        <f>COUNTIFS(AD240:AD242,"&lt;0,99")</f>
        <v>0</v>
      </c>
      <c r="AC239" s="67"/>
      <c r="AD239" s="67"/>
      <c r="AK239" s="47">
        <f>SUM(T239:X239)-R239</f>
        <v>0</v>
      </c>
    </row>
    <row r="240" spans="1:37" ht="82.5" customHeight="1" outlineLevel="2" x14ac:dyDescent="0.25">
      <c r="A240" s="262" t="s">
        <v>896</v>
      </c>
      <c r="B240" s="248" t="s">
        <v>1780</v>
      </c>
      <c r="C240" s="209" t="s">
        <v>444</v>
      </c>
      <c r="D240" s="272" t="s">
        <v>319</v>
      </c>
      <c r="E240" s="246">
        <v>44.94</v>
      </c>
      <c r="F240" s="246">
        <v>45.63</v>
      </c>
      <c r="G240" s="210">
        <v>58.07</v>
      </c>
      <c r="H240" s="297">
        <f t="shared" ref="H240:H242" si="133">G240/F240</f>
        <v>1.2726276572430417</v>
      </c>
      <c r="I240" s="297">
        <f t="shared" ref="I240:I242" si="134">G240/E240</f>
        <v>1.292167334223409</v>
      </c>
      <c r="J240" s="473" t="s">
        <v>41</v>
      </c>
      <c r="K240" s="246" t="s">
        <v>41</v>
      </c>
      <c r="L240" s="304" t="s">
        <v>80</v>
      </c>
      <c r="M240" s="40">
        <v>1</v>
      </c>
      <c r="N240" s="41">
        <f t="shared" ref="N240:N242" si="135">IF(H240&gt;1,1,H240)</f>
        <v>1</v>
      </c>
      <c r="O240" s="41" t="s">
        <v>41</v>
      </c>
      <c r="AC240" s="67">
        <f t="shared" si="115"/>
        <v>1.2726276572430417</v>
      </c>
      <c r="AD240" s="67" t="s">
        <v>41</v>
      </c>
    </row>
    <row r="241" spans="1:37" ht="33.75" outlineLevel="2" x14ac:dyDescent="0.25">
      <c r="A241" s="262" t="s">
        <v>897</v>
      </c>
      <c r="B241" s="161" t="s">
        <v>1781</v>
      </c>
      <c r="C241" s="137" t="s">
        <v>430</v>
      </c>
      <c r="D241" s="272" t="s">
        <v>319</v>
      </c>
      <c r="E241" s="246">
        <v>2.27</v>
      </c>
      <c r="F241" s="246">
        <v>2.54</v>
      </c>
      <c r="G241" s="491">
        <v>3.06</v>
      </c>
      <c r="H241" s="297">
        <f t="shared" si="133"/>
        <v>1.204724409448819</v>
      </c>
      <c r="I241" s="297">
        <f t="shared" si="134"/>
        <v>1.3480176211453745</v>
      </c>
      <c r="J241" s="473" t="s">
        <v>41</v>
      </c>
      <c r="K241" s="246" t="s">
        <v>41</v>
      </c>
      <c r="L241" s="304" t="s">
        <v>80</v>
      </c>
      <c r="M241" s="40">
        <v>1</v>
      </c>
      <c r="N241" s="41">
        <f t="shared" si="135"/>
        <v>1</v>
      </c>
      <c r="O241" s="41" t="s">
        <v>41</v>
      </c>
      <c r="AC241" s="67">
        <f t="shared" si="115"/>
        <v>1.204724409448819</v>
      </c>
      <c r="AD241" s="67" t="s">
        <v>41</v>
      </c>
    </row>
    <row r="242" spans="1:37" ht="111.75" customHeight="1" outlineLevel="2" x14ac:dyDescent="0.25">
      <c r="A242" s="262" t="s">
        <v>898</v>
      </c>
      <c r="B242" s="250" t="s">
        <v>1210</v>
      </c>
      <c r="C242" s="137" t="s">
        <v>446</v>
      </c>
      <c r="D242" s="313" t="s">
        <v>339</v>
      </c>
      <c r="E242" s="210">
        <v>981.4</v>
      </c>
      <c r="F242" s="279">
        <v>2841.6</v>
      </c>
      <c r="G242" s="137">
        <v>1068.4000000000001</v>
      </c>
      <c r="H242" s="300">
        <f t="shared" si="133"/>
        <v>0.3759853603603604</v>
      </c>
      <c r="I242" s="297">
        <f t="shared" si="134"/>
        <v>1.0886488689627065</v>
      </c>
      <c r="J242" s="43" t="s">
        <v>1782</v>
      </c>
      <c r="K242" s="145" t="s">
        <v>41</v>
      </c>
      <c r="L242" s="304" t="s">
        <v>80</v>
      </c>
      <c r="M242" s="40">
        <v>0</v>
      </c>
      <c r="N242" s="41">
        <f t="shared" si="135"/>
        <v>0.3759853603603604</v>
      </c>
      <c r="O242" s="41" t="s">
        <v>41</v>
      </c>
      <c r="AC242" s="67">
        <f t="shared" si="115"/>
        <v>0.3759853603603604</v>
      </c>
      <c r="AD242" s="67" t="s">
        <v>41</v>
      </c>
    </row>
    <row r="243" spans="1:37" s="47" customFormat="1" ht="35.25" customHeight="1" outlineLevel="1" x14ac:dyDescent="0.25">
      <c r="A243" s="68" t="s">
        <v>144</v>
      </c>
      <c r="B243" s="571" t="s">
        <v>1783</v>
      </c>
      <c r="C243" s="571"/>
      <c r="D243" s="571"/>
      <c r="E243" s="571"/>
      <c r="F243" s="571"/>
      <c r="G243" s="571"/>
      <c r="H243" s="69">
        <f>AVERAGE(N244:N253)</f>
        <v>0.875</v>
      </c>
      <c r="I243" s="69">
        <f>AVERAGE(O244:O253)</f>
        <v>1.0505472763760886</v>
      </c>
      <c r="J243" s="70"/>
      <c r="K243" s="70"/>
      <c r="L243" s="71"/>
      <c r="M243" s="64"/>
      <c r="N243" s="212"/>
      <c r="O243" s="212"/>
      <c r="P243" s="49"/>
      <c r="Q243" s="49"/>
      <c r="R243" s="104">
        <f>COUNTA(C244:C253)</f>
        <v>10</v>
      </c>
      <c r="S243" s="103">
        <v>2</v>
      </c>
      <c r="T243" s="104">
        <f>COUNTIFS(AC244:AC253,"&gt;1,50")</f>
        <v>0</v>
      </c>
      <c r="U243" s="104">
        <f>COUNTIFS(AC244:AC253,"&gt;=0,995",AC244:AC253,"&lt;=1,5")</f>
        <v>7</v>
      </c>
      <c r="V243" s="104">
        <f>COUNTIFS(AC244:AC253,"&gt;=0,85",AC244:AC253,"&lt;0,995")</f>
        <v>0</v>
      </c>
      <c r="W243" s="104">
        <f>COUNTIFS(AC244:AC253,"&lt;0,85")</f>
        <v>1</v>
      </c>
      <c r="X243" s="52">
        <v>0</v>
      </c>
      <c r="Z243" s="96">
        <f>COUNTIFS(AD244:AD253,"&gt;=1,01")</f>
        <v>1</v>
      </c>
      <c r="AA243" s="96">
        <f>COUNTIFS(AD244:AD253,"&gt;=0,99",AD244:AD253,"&lt;1,01")</f>
        <v>0</v>
      </c>
      <c r="AB243" s="97">
        <f>COUNTIFS(AD244:AD253,"&lt;0,99")</f>
        <v>0</v>
      </c>
      <c r="AC243" s="67"/>
      <c r="AD243" s="67"/>
      <c r="AK243" s="47">
        <f>SUM(T243:X243)-R243</f>
        <v>-2</v>
      </c>
    </row>
    <row r="244" spans="1:37" s="47" customFormat="1" ht="55.5" customHeight="1" outlineLevel="1" x14ac:dyDescent="0.25">
      <c r="A244" s="262" t="s">
        <v>1784</v>
      </c>
      <c r="B244" s="483" t="s">
        <v>1785</v>
      </c>
      <c r="C244" s="296" t="s">
        <v>343</v>
      </c>
      <c r="D244" s="167" t="s">
        <v>378</v>
      </c>
      <c r="E244" s="473" t="s">
        <v>41</v>
      </c>
      <c r="F244" s="473">
        <v>1</v>
      </c>
      <c r="G244" s="473">
        <v>1</v>
      </c>
      <c r="H244" s="286">
        <f t="shared" ref="H244" si="136">G244/F244</f>
        <v>1</v>
      </c>
      <c r="I244" s="286" t="s">
        <v>41</v>
      </c>
      <c r="J244" s="473" t="s">
        <v>41</v>
      </c>
      <c r="K244" s="306" t="s">
        <v>41</v>
      </c>
      <c r="L244" s="268" t="s">
        <v>905</v>
      </c>
      <c r="M244" s="40">
        <v>0</v>
      </c>
      <c r="N244" s="41">
        <f t="shared" ref="N244" si="137">IF(H244&gt;1,1,H244)</f>
        <v>1</v>
      </c>
      <c r="O244" s="41" t="s">
        <v>41</v>
      </c>
      <c r="P244" s="49"/>
      <c r="Q244" s="49"/>
      <c r="R244" s="426"/>
      <c r="S244" s="103"/>
      <c r="T244" s="426" t="s">
        <v>1789</v>
      </c>
      <c r="U244" s="426"/>
      <c r="V244" s="426"/>
      <c r="W244" s="426"/>
      <c r="X244" s="52"/>
      <c r="Z244" s="427"/>
      <c r="AA244" s="427"/>
      <c r="AB244" s="427"/>
      <c r="AC244" s="67">
        <f t="shared" si="115"/>
        <v>1</v>
      </c>
      <c r="AD244" s="67"/>
    </row>
    <row r="245" spans="1:37" ht="22.5" outlineLevel="2" x14ac:dyDescent="0.25">
      <c r="A245" s="262" t="s">
        <v>458</v>
      </c>
      <c r="B245" s="249" t="s">
        <v>461</v>
      </c>
      <c r="C245" s="296" t="s">
        <v>343</v>
      </c>
      <c r="D245" s="167" t="s">
        <v>378</v>
      </c>
      <c r="E245" s="137">
        <v>50</v>
      </c>
      <c r="F245" s="137">
        <v>54</v>
      </c>
      <c r="G245" s="137">
        <v>54</v>
      </c>
      <c r="H245" s="286">
        <f t="shared" ref="H245:H251" si="138">G245/F245</f>
        <v>1</v>
      </c>
      <c r="I245" s="286" t="s">
        <v>41</v>
      </c>
      <c r="J245" s="137" t="s">
        <v>41</v>
      </c>
      <c r="K245" s="306" t="s">
        <v>41</v>
      </c>
      <c r="L245" s="268" t="s">
        <v>905</v>
      </c>
      <c r="M245" s="40">
        <v>0</v>
      </c>
      <c r="N245" s="41">
        <f t="shared" ref="N245:N256" si="139">IF(H245&gt;1,1,H245)</f>
        <v>1</v>
      </c>
      <c r="O245" s="41" t="s">
        <v>41</v>
      </c>
      <c r="AC245" s="67">
        <f t="shared" si="115"/>
        <v>1</v>
      </c>
      <c r="AD245" s="67" t="str">
        <f t="shared" si="115"/>
        <v>-</v>
      </c>
    </row>
    <row r="246" spans="1:37" ht="101.25" outlineLevel="2" x14ac:dyDescent="0.25">
      <c r="A246" s="262" t="s">
        <v>902</v>
      </c>
      <c r="B246" s="131" t="s">
        <v>1211</v>
      </c>
      <c r="C246" s="296" t="s">
        <v>321</v>
      </c>
      <c r="D246" s="167" t="s">
        <v>378</v>
      </c>
      <c r="E246" s="137">
        <v>100</v>
      </c>
      <c r="F246" s="137">
        <v>100</v>
      </c>
      <c r="G246" s="137">
        <v>100</v>
      </c>
      <c r="H246" s="286">
        <f t="shared" si="138"/>
        <v>1</v>
      </c>
      <c r="I246" s="286" t="s">
        <v>41</v>
      </c>
      <c r="J246" s="306" t="s">
        <v>41</v>
      </c>
      <c r="K246" s="306" t="s">
        <v>41</v>
      </c>
      <c r="L246" s="268" t="s">
        <v>905</v>
      </c>
      <c r="M246" s="40">
        <v>0</v>
      </c>
      <c r="N246" s="41">
        <f t="shared" si="139"/>
        <v>1</v>
      </c>
      <c r="O246" s="41" t="s">
        <v>41</v>
      </c>
      <c r="AC246" s="67">
        <f t="shared" si="115"/>
        <v>1</v>
      </c>
      <c r="AD246" s="67" t="str">
        <f t="shared" si="115"/>
        <v>-</v>
      </c>
    </row>
    <row r="247" spans="1:37" ht="70.5" customHeight="1" outlineLevel="2" x14ac:dyDescent="0.25">
      <c r="A247" s="262" t="s">
        <v>903</v>
      </c>
      <c r="B247" s="131" t="s">
        <v>1212</v>
      </c>
      <c r="C247" s="296" t="s">
        <v>321</v>
      </c>
      <c r="D247" s="167" t="s">
        <v>378</v>
      </c>
      <c r="E247" s="137">
        <v>100</v>
      </c>
      <c r="F247" s="137">
        <v>100</v>
      </c>
      <c r="G247" s="137">
        <v>100</v>
      </c>
      <c r="H247" s="286">
        <f t="shared" si="138"/>
        <v>1</v>
      </c>
      <c r="I247" s="286" t="s">
        <v>41</v>
      </c>
      <c r="J247" s="306" t="s">
        <v>41</v>
      </c>
      <c r="K247" s="306" t="s">
        <v>41</v>
      </c>
      <c r="L247" s="268" t="s">
        <v>905</v>
      </c>
      <c r="M247" s="40">
        <v>0</v>
      </c>
      <c r="N247" s="41">
        <f t="shared" si="139"/>
        <v>1</v>
      </c>
      <c r="O247" s="41" t="s">
        <v>41</v>
      </c>
      <c r="AC247" s="67">
        <f t="shared" si="115"/>
        <v>1</v>
      </c>
      <c r="AD247" s="67" t="str">
        <f t="shared" si="115"/>
        <v>-</v>
      </c>
    </row>
    <row r="248" spans="1:37" ht="54.75" customHeight="1" outlineLevel="2" x14ac:dyDescent="0.25">
      <c r="A248" s="262" t="s">
        <v>904</v>
      </c>
      <c r="B248" s="131" t="s">
        <v>899</v>
      </c>
      <c r="C248" s="209" t="s">
        <v>900</v>
      </c>
      <c r="D248" s="137" t="s">
        <v>378</v>
      </c>
      <c r="E248" s="137">
        <v>1.2</v>
      </c>
      <c r="F248" s="137">
        <v>1.2</v>
      </c>
      <c r="G248" s="137">
        <v>1.2</v>
      </c>
      <c r="H248" s="142">
        <f t="shared" si="138"/>
        <v>1</v>
      </c>
      <c r="I248" s="286" t="s">
        <v>41</v>
      </c>
      <c r="J248" s="306" t="s">
        <v>41</v>
      </c>
      <c r="K248" s="306" t="s">
        <v>41</v>
      </c>
      <c r="L248" s="268" t="s">
        <v>905</v>
      </c>
      <c r="M248" s="40">
        <v>0</v>
      </c>
      <c r="N248" s="41">
        <f t="shared" si="139"/>
        <v>1</v>
      </c>
      <c r="O248" s="41" t="s">
        <v>41</v>
      </c>
      <c r="AC248" s="67">
        <f t="shared" si="115"/>
        <v>1</v>
      </c>
      <c r="AD248" s="67" t="str">
        <f t="shared" si="115"/>
        <v>-</v>
      </c>
    </row>
    <row r="249" spans="1:37" ht="28.5" customHeight="1" outlineLevel="2" x14ac:dyDescent="0.25">
      <c r="A249" s="262" t="s">
        <v>985</v>
      </c>
      <c r="B249" s="131" t="s">
        <v>987</v>
      </c>
      <c r="C249" s="209" t="s">
        <v>988</v>
      </c>
      <c r="D249" s="137" t="s">
        <v>378</v>
      </c>
      <c r="E249" s="137">
        <v>0</v>
      </c>
      <c r="F249" s="137">
        <v>0</v>
      </c>
      <c r="G249" s="137">
        <v>0</v>
      </c>
      <c r="H249" s="142" t="s">
        <v>41</v>
      </c>
      <c r="I249" s="286" t="s">
        <v>41</v>
      </c>
      <c r="J249" s="306" t="s">
        <v>41</v>
      </c>
      <c r="K249" s="306" t="s">
        <v>41</v>
      </c>
      <c r="L249" s="268" t="s">
        <v>905</v>
      </c>
      <c r="M249" s="40">
        <v>0</v>
      </c>
      <c r="N249" s="41" t="s">
        <v>41</v>
      </c>
      <c r="O249" s="41" t="s">
        <v>41</v>
      </c>
      <c r="AC249" s="67" t="s">
        <v>41</v>
      </c>
      <c r="AD249" s="67" t="str">
        <f t="shared" si="115"/>
        <v>-</v>
      </c>
    </row>
    <row r="250" spans="1:37" ht="91.5" customHeight="1" outlineLevel="2" x14ac:dyDescent="0.25">
      <c r="A250" s="262" t="s">
        <v>986</v>
      </c>
      <c r="B250" s="131" t="s">
        <v>1213</v>
      </c>
      <c r="C250" s="296" t="s">
        <v>989</v>
      </c>
      <c r="D250" s="167" t="s">
        <v>378</v>
      </c>
      <c r="E250" s="137">
        <v>0</v>
      </c>
      <c r="F250" s="137">
        <v>0</v>
      </c>
      <c r="G250" s="137">
        <v>0</v>
      </c>
      <c r="H250" s="286" t="s">
        <v>41</v>
      </c>
      <c r="I250" s="286" t="s">
        <v>41</v>
      </c>
      <c r="J250" s="306" t="s">
        <v>41</v>
      </c>
      <c r="K250" s="306" t="s">
        <v>41</v>
      </c>
      <c r="L250" s="268" t="s">
        <v>905</v>
      </c>
      <c r="M250" s="40">
        <v>0</v>
      </c>
      <c r="N250" s="41" t="s">
        <v>41</v>
      </c>
      <c r="O250" s="41" t="s">
        <v>41</v>
      </c>
      <c r="AC250" s="67" t="s">
        <v>41</v>
      </c>
      <c r="AD250" s="67" t="str">
        <f t="shared" si="115"/>
        <v>-</v>
      </c>
    </row>
    <row r="251" spans="1:37" ht="56.25" outlineLevel="2" x14ac:dyDescent="0.25">
      <c r="A251" s="262" t="s">
        <v>459</v>
      </c>
      <c r="B251" s="249" t="s">
        <v>462</v>
      </c>
      <c r="C251" s="296" t="s">
        <v>321</v>
      </c>
      <c r="D251" s="272" t="s">
        <v>319</v>
      </c>
      <c r="E251" s="137">
        <v>24.1</v>
      </c>
      <c r="F251" s="137">
        <v>24.6</v>
      </c>
      <c r="G251" s="279">
        <v>26.16</v>
      </c>
      <c r="H251" s="286">
        <f t="shared" si="138"/>
        <v>1.0634146341463413</v>
      </c>
      <c r="I251" s="286">
        <f>G251/E251</f>
        <v>1.0854771784232364</v>
      </c>
      <c r="J251" s="306" t="s">
        <v>41</v>
      </c>
      <c r="K251" s="306" t="s">
        <v>41</v>
      </c>
      <c r="L251" s="268" t="s">
        <v>905</v>
      </c>
      <c r="M251" s="40">
        <v>1</v>
      </c>
      <c r="N251" s="41">
        <f t="shared" si="139"/>
        <v>1</v>
      </c>
      <c r="O251" s="41">
        <f t="shared" ref="O251:O256" si="140">IF(I251&gt;1.25,1.25,I251)</f>
        <v>1.0854771784232364</v>
      </c>
      <c r="AC251" s="67">
        <f t="shared" si="115"/>
        <v>1.0634146341463413</v>
      </c>
      <c r="AD251" s="67">
        <f t="shared" si="115"/>
        <v>1.0854771784232364</v>
      </c>
    </row>
    <row r="252" spans="1:37" ht="22.5" outlineLevel="2" x14ac:dyDescent="0.25">
      <c r="A252" s="262" t="s">
        <v>460</v>
      </c>
      <c r="B252" s="471" t="s">
        <v>464</v>
      </c>
      <c r="C252" s="209" t="s">
        <v>901</v>
      </c>
      <c r="D252" s="251" t="s">
        <v>302</v>
      </c>
      <c r="E252" s="473">
        <v>208.1</v>
      </c>
      <c r="F252" s="473">
        <v>204.9</v>
      </c>
      <c r="G252" s="473">
        <v>204.9</v>
      </c>
      <c r="H252" s="300">
        <f>F252/G252</f>
        <v>1</v>
      </c>
      <c r="I252" s="300">
        <f>E252/G252</f>
        <v>1.0156173743289409</v>
      </c>
      <c r="J252" s="466" t="s">
        <v>41</v>
      </c>
      <c r="K252" s="466" t="s">
        <v>41</v>
      </c>
      <c r="L252" s="465" t="s">
        <v>905</v>
      </c>
      <c r="M252" s="40">
        <v>1</v>
      </c>
      <c r="N252" s="41">
        <f t="shared" si="139"/>
        <v>1</v>
      </c>
      <c r="O252" s="41">
        <f t="shared" si="140"/>
        <v>1.0156173743289409</v>
      </c>
      <c r="AC252" s="67">
        <f t="shared" si="115"/>
        <v>1</v>
      </c>
      <c r="AD252" s="67"/>
    </row>
    <row r="253" spans="1:37" ht="39.75" customHeight="1" outlineLevel="2" x14ac:dyDescent="0.25">
      <c r="A253" s="262" t="s">
        <v>1786</v>
      </c>
      <c r="B253" s="249" t="s">
        <v>1787</v>
      </c>
      <c r="C253" s="209" t="s">
        <v>343</v>
      </c>
      <c r="D253" s="473" t="s">
        <v>378</v>
      </c>
      <c r="E253" s="137" t="s">
        <v>41</v>
      </c>
      <c r="F253" s="137">
        <v>3</v>
      </c>
      <c r="G253" s="137">
        <v>0</v>
      </c>
      <c r="H253" s="286">
        <f t="shared" ref="H253" si="141">G253/F253</f>
        <v>0</v>
      </c>
      <c r="I253" s="286" t="s">
        <v>41</v>
      </c>
      <c r="J253" s="492" t="s">
        <v>1788</v>
      </c>
      <c r="K253" s="246" t="s">
        <v>41</v>
      </c>
      <c r="L253" s="268" t="s">
        <v>80</v>
      </c>
      <c r="M253" s="40">
        <v>0</v>
      </c>
      <c r="N253" s="41">
        <f t="shared" si="139"/>
        <v>0</v>
      </c>
      <c r="O253" s="41" t="s">
        <v>41</v>
      </c>
      <c r="AC253" s="67">
        <f t="shared" si="115"/>
        <v>0</v>
      </c>
      <c r="AD253" s="67"/>
    </row>
    <row r="254" spans="1:37" s="47" customFormat="1" ht="27.75" customHeight="1" outlineLevel="1" x14ac:dyDescent="0.25">
      <c r="A254" s="68" t="s">
        <v>145</v>
      </c>
      <c r="B254" s="571" t="s">
        <v>1790</v>
      </c>
      <c r="C254" s="571"/>
      <c r="D254" s="571"/>
      <c r="E254" s="571"/>
      <c r="F254" s="571"/>
      <c r="G254" s="571"/>
      <c r="H254" s="69">
        <f>AVERAGE(N255:N256)</f>
        <v>1</v>
      </c>
      <c r="I254" s="69">
        <f>AVERAGE(O255:O256)</f>
        <v>1.1023391812865497</v>
      </c>
      <c r="J254" s="70"/>
      <c r="K254" s="70"/>
      <c r="L254" s="71"/>
      <c r="M254" s="64"/>
      <c r="N254" s="41"/>
      <c r="O254" s="41"/>
      <c r="P254" s="49"/>
      <c r="Q254" s="49"/>
      <c r="R254" s="104">
        <f>COUNTA(C255:C256)</f>
        <v>2</v>
      </c>
      <c r="S254" s="103">
        <v>0</v>
      </c>
      <c r="T254" s="104">
        <f>COUNTIFS(AC255:AC256,"&gt;1,50")</f>
        <v>0</v>
      </c>
      <c r="U254" s="104">
        <f>COUNTIFS(AC255:AC256,"&gt;=0,995",AC255:AC256,"&lt;=1,5")</f>
        <v>2</v>
      </c>
      <c r="V254" s="104">
        <f>COUNTIFS(AC255:AC256,"&gt;=0,85",AC255:AC256,"&lt;0,995")</f>
        <v>0</v>
      </c>
      <c r="W254" s="104">
        <f>COUNTIFS(AC255:AC256,"&lt;0,85")</f>
        <v>0</v>
      </c>
      <c r="X254" s="52">
        <v>0</v>
      </c>
      <c r="Z254" s="96">
        <f>COUNTIFS(AD255:AD256,"&gt;=1,01")</f>
        <v>2</v>
      </c>
      <c r="AA254" s="96">
        <f>COUNTIFS(AD255:AD256,"&gt;=0,99",AD255:AD256,"&lt;1,01")</f>
        <v>0</v>
      </c>
      <c r="AB254" s="97">
        <f>COUNTIFS(AD255:AD256,"&lt;0,99")</f>
        <v>0</v>
      </c>
      <c r="AC254" s="67"/>
      <c r="AD254" s="67"/>
      <c r="AK254" s="47">
        <f>SUM(T254:X254)-R254</f>
        <v>0</v>
      </c>
    </row>
    <row r="255" spans="1:37" ht="72" customHeight="1" outlineLevel="2" x14ac:dyDescent="0.25">
      <c r="A255" s="262" t="s">
        <v>912</v>
      </c>
      <c r="B255" s="249" t="s">
        <v>906</v>
      </c>
      <c r="C255" s="296" t="s">
        <v>321</v>
      </c>
      <c r="D255" s="280" t="s">
        <v>302</v>
      </c>
      <c r="E255" s="246">
        <v>30</v>
      </c>
      <c r="F255" s="246">
        <v>29</v>
      </c>
      <c r="G255" s="210">
        <v>27</v>
      </c>
      <c r="H255" s="286">
        <f>F255/G255</f>
        <v>1.0740740740740742</v>
      </c>
      <c r="I255" s="286">
        <f>E255/G255</f>
        <v>1.1111111111111112</v>
      </c>
      <c r="J255" s="306" t="s">
        <v>41</v>
      </c>
      <c r="K255" s="306" t="s">
        <v>41</v>
      </c>
      <c r="L255" s="268" t="s">
        <v>1180</v>
      </c>
      <c r="M255" s="40">
        <v>-1</v>
      </c>
      <c r="N255" s="41">
        <f t="shared" si="139"/>
        <v>1</v>
      </c>
      <c r="O255" s="41">
        <f t="shared" si="140"/>
        <v>1.1111111111111112</v>
      </c>
      <c r="AC255" s="67">
        <f t="shared" si="115"/>
        <v>1.0740740740740742</v>
      </c>
      <c r="AD255" s="67">
        <f t="shared" si="115"/>
        <v>1.1111111111111112</v>
      </c>
    </row>
    <row r="256" spans="1:37" ht="112.5" outlineLevel="2" x14ac:dyDescent="0.25">
      <c r="A256" s="262" t="s">
        <v>913</v>
      </c>
      <c r="B256" s="323" t="s">
        <v>907</v>
      </c>
      <c r="C256" s="167" t="s">
        <v>343</v>
      </c>
      <c r="D256" s="280" t="s">
        <v>302</v>
      </c>
      <c r="E256" s="246">
        <v>374</v>
      </c>
      <c r="F256" s="246">
        <v>350</v>
      </c>
      <c r="G256" s="322">
        <v>342</v>
      </c>
      <c r="H256" s="286">
        <f>F256/G256</f>
        <v>1.0233918128654971</v>
      </c>
      <c r="I256" s="286">
        <f>E256/G256</f>
        <v>1.0935672514619883</v>
      </c>
      <c r="J256" s="306" t="s">
        <v>41</v>
      </c>
      <c r="K256" s="306" t="s">
        <v>41</v>
      </c>
      <c r="L256" s="268" t="s">
        <v>1180</v>
      </c>
      <c r="M256" s="40">
        <v>-1</v>
      </c>
      <c r="N256" s="41">
        <f t="shared" si="139"/>
        <v>1</v>
      </c>
      <c r="O256" s="41">
        <f t="shared" si="140"/>
        <v>1.0935672514619883</v>
      </c>
      <c r="AC256" s="67">
        <f t="shared" si="115"/>
        <v>1.0233918128654971</v>
      </c>
      <c r="AD256" s="67">
        <f t="shared" si="115"/>
        <v>1.0935672514619883</v>
      </c>
    </row>
    <row r="257" spans="1:37" s="47" customFormat="1" ht="17.25" customHeight="1" x14ac:dyDescent="0.25">
      <c r="A257" s="493" t="s">
        <v>146</v>
      </c>
      <c r="B257" s="580" t="s">
        <v>806</v>
      </c>
      <c r="C257" s="581"/>
      <c r="D257" s="581"/>
      <c r="E257" s="581"/>
      <c r="F257" s="581"/>
      <c r="G257" s="582"/>
      <c r="H257" s="494">
        <f>AVERAGE(N258:N260,N262:N263,N264:N265,N267:N273,N275:N277)</f>
        <v>0.96874181398476256</v>
      </c>
      <c r="I257" s="494">
        <f>AVERAGE(O258:O260,O262:O263,O264:O265,O267:O273,O275:O277)</f>
        <v>1.0539968374212965</v>
      </c>
      <c r="J257" s="495"/>
      <c r="K257" s="495"/>
      <c r="L257" s="496"/>
      <c r="M257" s="64"/>
      <c r="N257" s="41"/>
      <c r="O257" s="212"/>
      <c r="P257" s="49"/>
      <c r="Q257" s="49"/>
      <c r="R257" s="110">
        <f>COUNTA(C258:C277)</f>
        <v>17</v>
      </c>
      <c r="S257" s="102">
        <f>R257-T257-U257-V257-W257</f>
        <v>2</v>
      </c>
      <c r="T257" s="110">
        <f>COUNTIFS(AC258:AC277,"&gt;1,50")</f>
        <v>1</v>
      </c>
      <c r="U257" s="110">
        <f>COUNTIFS(AC258:AC277,"&gt;=0,995",AC258:AC277,"&lt;=1,5")</f>
        <v>10</v>
      </c>
      <c r="V257" s="110">
        <f>COUNTIFS(AC258:AC277,"&gt;=0,85",AC258:AC277,"&lt;0,995")</f>
        <v>3</v>
      </c>
      <c r="W257" s="110">
        <f>COUNTIFS(AC258:AC277,"&lt;0,85")</f>
        <v>1</v>
      </c>
      <c r="X257" s="49"/>
      <c r="Z257" s="100">
        <f>COUNTIFS(AD258:AD277,"&gt;=1,01")</f>
        <v>8</v>
      </c>
      <c r="AA257" s="100">
        <f>COUNTIFS(AD258:AD277,"&gt;=0,99",AD258:AD277,"&lt;1,01")</f>
        <v>3</v>
      </c>
      <c r="AB257" s="101">
        <f>COUNTIFS(AD258:AD277,"&lt;0,99")</f>
        <v>3</v>
      </c>
      <c r="AC257" s="67"/>
      <c r="AD257" s="67"/>
      <c r="AK257" s="47">
        <f>SUM(T257:X257)-R257</f>
        <v>-2</v>
      </c>
    </row>
    <row r="258" spans="1:37" ht="94.5" customHeight="1" outlineLevel="2" x14ac:dyDescent="0.25">
      <c r="A258" s="262" t="s">
        <v>466</v>
      </c>
      <c r="B258" s="168" t="s">
        <v>807</v>
      </c>
      <c r="C258" s="167" t="s">
        <v>810</v>
      </c>
      <c r="D258" s="280" t="s">
        <v>302</v>
      </c>
      <c r="E258" s="167">
        <v>1666</v>
      </c>
      <c r="F258" s="167">
        <v>1620</v>
      </c>
      <c r="G258" s="167">
        <v>1894.2</v>
      </c>
      <c r="H258" s="286">
        <f>F258/G258</f>
        <v>0.85524231865695277</v>
      </c>
      <c r="I258" s="286">
        <f>E258/G258</f>
        <v>0.87952697708795269</v>
      </c>
      <c r="J258" s="38" t="s">
        <v>1440</v>
      </c>
      <c r="K258" s="155" t="s">
        <v>1214</v>
      </c>
      <c r="L258" s="312" t="s">
        <v>1215</v>
      </c>
      <c r="M258" s="40">
        <v>-1</v>
      </c>
      <c r="N258" s="41">
        <f t="shared" ref="N258:N272" si="142">IF(H258&gt;1,1,H258)</f>
        <v>0.85524231865695277</v>
      </c>
      <c r="O258" s="41">
        <f t="shared" ref="O258:O276" si="143">IF(I258&gt;1.25,1.25,I258)</f>
        <v>0.87952697708795269</v>
      </c>
      <c r="AC258" s="67">
        <f t="shared" si="115"/>
        <v>0.85524231865695277</v>
      </c>
      <c r="AD258" s="67">
        <f t="shared" si="115"/>
        <v>0.87952697708795269</v>
      </c>
    </row>
    <row r="259" spans="1:37" ht="33.75" outlineLevel="2" x14ac:dyDescent="0.25">
      <c r="A259" s="262" t="s">
        <v>468</v>
      </c>
      <c r="B259" s="168" t="s">
        <v>808</v>
      </c>
      <c r="C259" s="167" t="s">
        <v>343</v>
      </c>
      <c r="D259" s="280" t="s">
        <v>302</v>
      </c>
      <c r="E259" s="167">
        <v>2367</v>
      </c>
      <c r="F259" s="283">
        <v>3430</v>
      </c>
      <c r="G259" s="167">
        <v>2319</v>
      </c>
      <c r="H259" s="286">
        <f>F259/G259</f>
        <v>1.4790858128503666</v>
      </c>
      <c r="I259" s="286">
        <f>E259/G259</f>
        <v>1.0206985769728332</v>
      </c>
      <c r="J259" s="155" t="s">
        <v>811</v>
      </c>
      <c r="K259" s="167" t="s">
        <v>41</v>
      </c>
      <c r="L259" s="312" t="s">
        <v>1130</v>
      </c>
      <c r="M259" s="40">
        <v>-1</v>
      </c>
      <c r="N259" s="41">
        <f t="shared" si="142"/>
        <v>1</v>
      </c>
      <c r="O259" s="41">
        <f t="shared" si="143"/>
        <v>1.0206985769728332</v>
      </c>
      <c r="AC259" s="67">
        <f t="shared" si="115"/>
        <v>1.4790858128503666</v>
      </c>
      <c r="AD259" s="67">
        <f t="shared" si="115"/>
        <v>1.0206985769728332</v>
      </c>
    </row>
    <row r="260" spans="1:37" ht="56.25" outlineLevel="2" x14ac:dyDescent="0.25">
      <c r="A260" s="262" t="s">
        <v>657</v>
      </c>
      <c r="B260" s="168" t="s">
        <v>809</v>
      </c>
      <c r="C260" s="167" t="s">
        <v>327</v>
      </c>
      <c r="D260" s="280" t="s">
        <v>302</v>
      </c>
      <c r="E260" s="167">
        <v>78</v>
      </c>
      <c r="F260" s="167">
        <v>99</v>
      </c>
      <c r="G260" s="167">
        <v>67</v>
      </c>
      <c r="H260" s="286">
        <f>F260/G260</f>
        <v>1.4776119402985075</v>
      </c>
      <c r="I260" s="286">
        <f>E260/G260</f>
        <v>1.164179104477612</v>
      </c>
      <c r="J260" s="155" t="s">
        <v>1439</v>
      </c>
      <c r="K260" s="167" t="s">
        <v>41</v>
      </c>
      <c r="L260" s="312" t="s">
        <v>1215</v>
      </c>
      <c r="M260" s="40">
        <v>-1</v>
      </c>
      <c r="N260" s="41">
        <f t="shared" si="142"/>
        <v>1</v>
      </c>
      <c r="O260" s="41">
        <f t="shared" si="143"/>
        <v>1.164179104477612</v>
      </c>
      <c r="AC260" s="67">
        <f t="shared" si="115"/>
        <v>1.4776119402985075</v>
      </c>
      <c r="AD260" s="67">
        <f t="shared" si="115"/>
        <v>1.164179104477612</v>
      </c>
    </row>
    <row r="261" spans="1:37" s="47" customFormat="1" outlineLevel="1" x14ac:dyDescent="0.25">
      <c r="A261" s="68" t="s">
        <v>147</v>
      </c>
      <c r="B261" s="571" t="s">
        <v>478</v>
      </c>
      <c r="C261" s="571"/>
      <c r="D261" s="571"/>
      <c r="E261" s="571"/>
      <c r="F261" s="571"/>
      <c r="G261" s="571"/>
      <c r="H261" s="69">
        <f>AVERAGE(N262:N265)</f>
        <v>0.94791859119967437</v>
      </c>
      <c r="I261" s="69">
        <f>AVERAGE(O262:O265)</f>
        <v>0.92524625690597562</v>
      </c>
      <c r="J261" s="70"/>
      <c r="K261" s="70"/>
      <c r="L261" s="71"/>
      <c r="M261" s="64"/>
      <c r="N261" s="41"/>
      <c r="O261" s="41"/>
      <c r="P261" s="49"/>
      <c r="Q261" s="49"/>
      <c r="R261" s="104">
        <f>COUNTA(C262:C265)</f>
        <v>4</v>
      </c>
      <c r="S261" s="103">
        <v>0</v>
      </c>
      <c r="T261" s="104">
        <f>COUNTIFS(AC262:AC265,"&gt;1,50")</f>
        <v>0</v>
      </c>
      <c r="U261" s="104">
        <f>COUNTIFS(AC262:AC265,"&gt;=0,995",AC262:AC265,"&lt;=1,5")</f>
        <v>2</v>
      </c>
      <c r="V261" s="104">
        <f>COUNTIFS(AC262:AC265,"&gt;=0,85",AC262:AC265,"&lt;0,995")</f>
        <v>1</v>
      </c>
      <c r="W261" s="104">
        <f>COUNTIFS(AC262:AC265,"&lt;0,85")</f>
        <v>1</v>
      </c>
      <c r="X261" s="52"/>
      <c r="Z261" s="96">
        <f>COUNTIFS(AD262:AD265,"&gt;=1,01")</f>
        <v>2</v>
      </c>
      <c r="AA261" s="96">
        <f>COUNTIFS(AD262:AD265,"&gt;=0,99",AD262:AD265,"&lt;1,01")</f>
        <v>0</v>
      </c>
      <c r="AB261" s="97">
        <f>COUNTIFS(AD262:AD265,"&lt;0,99")</f>
        <v>2</v>
      </c>
      <c r="AC261" s="67"/>
      <c r="AD261" s="67"/>
      <c r="AK261" s="47">
        <f>SUM(T261:X261)-R261</f>
        <v>0</v>
      </c>
    </row>
    <row r="262" spans="1:37" ht="45" outlineLevel="2" x14ac:dyDescent="0.25">
      <c r="A262" s="262" t="s">
        <v>470</v>
      </c>
      <c r="B262" s="324" t="s">
        <v>812</v>
      </c>
      <c r="C262" s="167" t="s">
        <v>321</v>
      </c>
      <c r="D262" s="280" t="s">
        <v>302</v>
      </c>
      <c r="E262" s="167">
        <v>29.21</v>
      </c>
      <c r="F262" s="167">
        <v>30.44</v>
      </c>
      <c r="G262" s="167">
        <v>38.03</v>
      </c>
      <c r="H262" s="286">
        <f>F262/G262</f>
        <v>0.80042072048382862</v>
      </c>
      <c r="I262" s="286">
        <f>E262/G262</f>
        <v>0.76807783328950829</v>
      </c>
      <c r="J262" s="155" t="s">
        <v>1441</v>
      </c>
      <c r="K262" s="155" t="s">
        <v>1442</v>
      </c>
      <c r="L262" s="312" t="s">
        <v>1215</v>
      </c>
      <c r="M262" s="40">
        <v>-1</v>
      </c>
      <c r="N262" s="41">
        <f t="shared" si="142"/>
        <v>0.80042072048382862</v>
      </c>
      <c r="O262" s="41">
        <f t="shared" si="143"/>
        <v>0.76807783328950829</v>
      </c>
      <c r="AC262" s="67">
        <f t="shared" si="115"/>
        <v>0.80042072048382862</v>
      </c>
      <c r="AD262" s="67">
        <f t="shared" si="115"/>
        <v>0.76807783328950829</v>
      </c>
    </row>
    <row r="263" spans="1:37" ht="156" customHeight="1" outlineLevel="2" x14ac:dyDescent="0.25">
      <c r="A263" s="262" t="s">
        <v>471</v>
      </c>
      <c r="B263" s="168" t="s">
        <v>813</v>
      </c>
      <c r="C263" s="167" t="s">
        <v>321</v>
      </c>
      <c r="D263" s="272" t="s">
        <v>319</v>
      </c>
      <c r="E263" s="167">
        <v>27</v>
      </c>
      <c r="F263" s="277">
        <v>34.299999999999997</v>
      </c>
      <c r="G263" s="167">
        <v>34</v>
      </c>
      <c r="H263" s="286">
        <f>G263/F263</f>
        <v>0.99125364431486884</v>
      </c>
      <c r="I263" s="286">
        <f>G263/E263</f>
        <v>1.2592592592592593</v>
      </c>
      <c r="J263" s="155" t="s">
        <v>1443</v>
      </c>
      <c r="K263" s="155" t="s">
        <v>814</v>
      </c>
      <c r="L263" s="312" t="s">
        <v>1215</v>
      </c>
      <c r="M263" s="40">
        <v>1</v>
      </c>
      <c r="N263" s="41">
        <f t="shared" si="142"/>
        <v>0.99125364431486884</v>
      </c>
      <c r="O263" s="41">
        <f t="shared" si="143"/>
        <v>1.25</v>
      </c>
      <c r="AC263" s="67">
        <f t="shared" si="115"/>
        <v>0.99125364431486884</v>
      </c>
      <c r="AD263" s="67">
        <f t="shared" si="115"/>
        <v>1.2592592592592593</v>
      </c>
    </row>
    <row r="264" spans="1:37" ht="56.25" outlineLevel="2" x14ac:dyDescent="0.25">
      <c r="A264" s="262" t="s">
        <v>472</v>
      </c>
      <c r="B264" s="324" t="s">
        <v>484</v>
      </c>
      <c r="C264" s="167" t="s">
        <v>321</v>
      </c>
      <c r="D264" s="280" t="s">
        <v>302</v>
      </c>
      <c r="E264" s="167">
        <v>55.05</v>
      </c>
      <c r="F264" s="290">
        <v>98.57</v>
      </c>
      <c r="G264" s="167">
        <v>90.4</v>
      </c>
      <c r="H264" s="286">
        <f>F264/G264</f>
        <v>1.0903761061946902</v>
      </c>
      <c r="I264" s="286">
        <f>E264/G264</f>
        <v>0.60896017699115035</v>
      </c>
      <c r="J264" s="155" t="s">
        <v>1216</v>
      </c>
      <c r="K264" s="155" t="s">
        <v>1217</v>
      </c>
      <c r="L264" s="312" t="s">
        <v>1215</v>
      </c>
      <c r="M264" s="40">
        <v>-1</v>
      </c>
      <c r="N264" s="41">
        <f t="shared" si="142"/>
        <v>1</v>
      </c>
      <c r="O264" s="41">
        <f t="shared" si="143"/>
        <v>0.60896017699115035</v>
      </c>
      <c r="AC264" s="67">
        <f t="shared" si="115"/>
        <v>1.0903761061946902</v>
      </c>
      <c r="AD264" s="67">
        <f t="shared" si="115"/>
        <v>0.60896017699115035</v>
      </c>
    </row>
    <row r="265" spans="1:37" ht="56.25" outlineLevel="2" x14ac:dyDescent="0.25">
      <c r="A265" s="262" t="s">
        <v>473</v>
      </c>
      <c r="B265" s="168" t="s">
        <v>482</v>
      </c>
      <c r="C265" s="167" t="s">
        <v>321</v>
      </c>
      <c r="D265" s="272" t="s">
        <v>319</v>
      </c>
      <c r="E265" s="167">
        <v>104.94</v>
      </c>
      <c r="F265" s="167">
        <v>108.8</v>
      </c>
      <c r="G265" s="167">
        <v>112.7</v>
      </c>
      <c r="H265" s="286">
        <f>G265/F265</f>
        <v>1.0358455882352942</v>
      </c>
      <c r="I265" s="286">
        <f>G265/E265</f>
        <v>1.0739470173432437</v>
      </c>
      <c r="J265" s="155" t="s">
        <v>1444</v>
      </c>
      <c r="K265" s="167" t="s">
        <v>41</v>
      </c>
      <c r="L265" s="325" t="s">
        <v>184</v>
      </c>
      <c r="M265" s="40">
        <v>1</v>
      </c>
      <c r="N265" s="41">
        <f t="shared" si="142"/>
        <v>1</v>
      </c>
      <c r="O265" s="41">
        <f t="shared" si="143"/>
        <v>1.0739470173432437</v>
      </c>
      <c r="AC265" s="67">
        <f t="shared" ref="AC265:AD331" si="144">H265</f>
        <v>1.0358455882352942</v>
      </c>
      <c r="AD265" s="67">
        <f t="shared" si="144"/>
        <v>1.0739470173432437</v>
      </c>
    </row>
    <row r="266" spans="1:37" s="47" customFormat="1" outlineLevel="1" x14ac:dyDescent="0.25">
      <c r="A266" s="68" t="s">
        <v>1791</v>
      </c>
      <c r="B266" s="571" t="s">
        <v>486</v>
      </c>
      <c r="C266" s="571"/>
      <c r="D266" s="571"/>
      <c r="E266" s="571"/>
      <c r="F266" s="571"/>
      <c r="G266" s="571"/>
      <c r="H266" s="69">
        <f>AVERAGE(N267:N273)</f>
        <v>0.97684210526315796</v>
      </c>
      <c r="I266" s="69">
        <f>AVERAGE(O267:O273)</f>
        <v>1.0981132075471698</v>
      </c>
      <c r="J266" s="70"/>
      <c r="K266" s="70"/>
      <c r="L266" s="71"/>
      <c r="M266" s="64"/>
      <c r="N266" s="41"/>
      <c r="O266" s="41"/>
      <c r="P266" s="49"/>
      <c r="Q266" s="49"/>
      <c r="R266" s="104">
        <f>COUNTA(C267:C273)</f>
        <v>7</v>
      </c>
      <c r="S266" s="103">
        <v>2</v>
      </c>
      <c r="T266" s="104">
        <f>COUNTIFS(AC267:AC273,"&gt;1,50")</f>
        <v>0</v>
      </c>
      <c r="U266" s="104">
        <f>COUNTIFS(AC267:AC273,"&gt;=0,995",AC267:AC273,"&lt;=1,5")</f>
        <v>4</v>
      </c>
      <c r="V266" s="104">
        <f>COUNTIFS(AC267:AC273,"&gt;=0,85",AC267:AC273,"&lt;0,995")</f>
        <v>1</v>
      </c>
      <c r="W266" s="104">
        <f>COUNTIFS(AC267:AC273,"&lt;0,85")</f>
        <v>0</v>
      </c>
      <c r="X266" s="52"/>
      <c r="Z266" s="96">
        <f>COUNTIFS(AD267:AD273,"&gt;=1,01")</f>
        <v>2</v>
      </c>
      <c r="AA266" s="96">
        <f>COUNTIFS(AD267:AD273,"&gt;=0,99",AD267:AD273,"&lt;1,01")</f>
        <v>3</v>
      </c>
      <c r="AB266" s="97">
        <f>COUNTIFS(AD267:AD273,"&lt;0,99")</f>
        <v>0</v>
      </c>
      <c r="AC266" s="67"/>
      <c r="AD266" s="67"/>
      <c r="AK266" s="47">
        <f>SUM(T266:X266)-R266</f>
        <v>-2</v>
      </c>
    </row>
    <row r="267" spans="1:37" ht="56.25" outlineLevel="2" x14ac:dyDescent="0.25">
      <c r="A267" s="262" t="s">
        <v>1792</v>
      </c>
      <c r="B267" s="168" t="s">
        <v>815</v>
      </c>
      <c r="C267" s="167" t="s">
        <v>321</v>
      </c>
      <c r="D267" s="280" t="s">
        <v>302</v>
      </c>
      <c r="E267" s="167">
        <v>115.6</v>
      </c>
      <c r="F267" s="167">
        <v>96</v>
      </c>
      <c r="G267" s="167">
        <v>88.7</v>
      </c>
      <c r="H267" s="286">
        <f>F267/G267</f>
        <v>1.0822998872604284</v>
      </c>
      <c r="I267" s="286">
        <f>E267/G267</f>
        <v>1.3032694475760991</v>
      </c>
      <c r="J267" s="155" t="s">
        <v>1445</v>
      </c>
      <c r="K267" s="167" t="s">
        <v>41</v>
      </c>
      <c r="L267" s="312" t="s">
        <v>1215</v>
      </c>
      <c r="M267" s="40">
        <v>-1</v>
      </c>
      <c r="N267" s="41">
        <f t="shared" si="142"/>
        <v>1</v>
      </c>
      <c r="O267" s="41">
        <f t="shared" si="143"/>
        <v>1.25</v>
      </c>
      <c r="AC267" s="67">
        <f t="shared" si="144"/>
        <v>1.0822998872604284</v>
      </c>
      <c r="AD267" s="67">
        <f t="shared" si="144"/>
        <v>1.3032694475760991</v>
      </c>
    </row>
    <row r="268" spans="1:37" ht="45" outlineLevel="2" x14ac:dyDescent="0.25">
      <c r="A268" s="262" t="s">
        <v>1793</v>
      </c>
      <c r="B268" s="168" t="s">
        <v>816</v>
      </c>
      <c r="C268" s="167" t="s">
        <v>321</v>
      </c>
      <c r="D268" s="280" t="s">
        <v>302</v>
      </c>
      <c r="E268" s="167">
        <v>384.2</v>
      </c>
      <c r="F268" s="167">
        <v>99</v>
      </c>
      <c r="G268" s="167">
        <v>81.5</v>
      </c>
      <c r="H268" s="286">
        <f>F268/G268</f>
        <v>1.2147239263803682</v>
      </c>
      <c r="I268" s="286">
        <f>E268/G268</f>
        <v>4.7141104294478522</v>
      </c>
      <c r="J268" s="155" t="s">
        <v>1446</v>
      </c>
      <c r="K268" s="167" t="s">
        <v>41</v>
      </c>
      <c r="L268" s="312" t="s">
        <v>1215</v>
      </c>
      <c r="M268" s="40">
        <v>-1</v>
      </c>
      <c r="N268" s="41">
        <f t="shared" si="142"/>
        <v>1</v>
      </c>
      <c r="O268" s="41">
        <f t="shared" si="143"/>
        <v>1.25</v>
      </c>
      <c r="AC268" s="67">
        <f t="shared" si="144"/>
        <v>1.2147239263803682</v>
      </c>
      <c r="AD268" s="67">
        <f t="shared" si="144"/>
        <v>4.7141104294478522</v>
      </c>
    </row>
    <row r="269" spans="1:37" ht="45" outlineLevel="2" x14ac:dyDescent="0.25">
      <c r="A269" s="262" t="s">
        <v>1794</v>
      </c>
      <c r="B269" s="168" t="s">
        <v>817</v>
      </c>
      <c r="C269" s="167" t="s">
        <v>321</v>
      </c>
      <c r="D269" s="280" t="s">
        <v>302</v>
      </c>
      <c r="E269" s="167">
        <v>98.3</v>
      </c>
      <c r="F269" s="167">
        <v>99.7</v>
      </c>
      <c r="G269" s="167">
        <v>98.3</v>
      </c>
      <c r="H269" s="286">
        <f>F269/G269</f>
        <v>1.0142421159715158</v>
      </c>
      <c r="I269" s="286">
        <f>E269/G269</f>
        <v>1</v>
      </c>
      <c r="J269" s="155" t="s">
        <v>1447</v>
      </c>
      <c r="K269" s="167" t="s">
        <v>41</v>
      </c>
      <c r="L269" s="312" t="s">
        <v>1215</v>
      </c>
      <c r="M269" s="40">
        <v>-1</v>
      </c>
      <c r="N269" s="41">
        <f t="shared" si="142"/>
        <v>1</v>
      </c>
      <c r="O269" s="41">
        <f t="shared" si="143"/>
        <v>1</v>
      </c>
      <c r="AC269" s="67">
        <f t="shared" si="144"/>
        <v>1.0142421159715158</v>
      </c>
      <c r="AD269" s="67">
        <f t="shared" si="144"/>
        <v>1</v>
      </c>
    </row>
    <row r="270" spans="1:37" ht="45" outlineLevel="2" x14ac:dyDescent="0.25">
      <c r="A270" s="262" t="s">
        <v>1795</v>
      </c>
      <c r="B270" s="168" t="s">
        <v>492</v>
      </c>
      <c r="C270" s="167" t="s">
        <v>321</v>
      </c>
      <c r="D270" s="272" t="s">
        <v>319</v>
      </c>
      <c r="E270" s="167">
        <v>84.8</v>
      </c>
      <c r="F270" s="167">
        <v>95</v>
      </c>
      <c r="G270" s="167">
        <v>84</v>
      </c>
      <c r="H270" s="286">
        <f>G270/F270</f>
        <v>0.88421052631578945</v>
      </c>
      <c r="I270" s="286">
        <f>G270/E270</f>
        <v>0.99056603773584906</v>
      </c>
      <c r="J270" s="155" t="s">
        <v>1448</v>
      </c>
      <c r="K270" s="155" t="s">
        <v>1222</v>
      </c>
      <c r="L270" s="312" t="s">
        <v>1215</v>
      </c>
      <c r="M270" s="40">
        <v>1</v>
      </c>
      <c r="N270" s="41">
        <f t="shared" si="142"/>
        <v>0.88421052631578945</v>
      </c>
      <c r="O270" s="41">
        <f t="shared" si="143"/>
        <v>0.99056603773584906</v>
      </c>
      <c r="AC270" s="67">
        <f t="shared" si="144"/>
        <v>0.88421052631578945</v>
      </c>
      <c r="AD270" s="67">
        <f t="shared" si="144"/>
        <v>0.99056603773584906</v>
      </c>
    </row>
    <row r="271" spans="1:37" ht="90" outlineLevel="2" x14ac:dyDescent="0.25">
      <c r="A271" s="262" t="s">
        <v>1796</v>
      </c>
      <c r="B271" s="168" t="s">
        <v>1221</v>
      </c>
      <c r="C271" s="167" t="s">
        <v>321</v>
      </c>
      <c r="D271" s="272" t="s">
        <v>319</v>
      </c>
      <c r="E271" s="167">
        <v>0</v>
      </c>
      <c r="F271" s="167">
        <v>40</v>
      </c>
      <c r="G271" s="167">
        <v>0</v>
      </c>
      <c r="H271" s="286" t="s">
        <v>41</v>
      </c>
      <c r="I271" s="286" t="s">
        <v>41</v>
      </c>
      <c r="J271" s="155" t="s">
        <v>1449</v>
      </c>
      <c r="K271" s="155" t="s">
        <v>1222</v>
      </c>
      <c r="L271" s="312" t="s">
        <v>1215</v>
      </c>
      <c r="M271" s="40">
        <v>1</v>
      </c>
      <c r="N271" s="41" t="s">
        <v>41</v>
      </c>
      <c r="O271" s="41" t="s">
        <v>41</v>
      </c>
      <c r="AC271" s="67" t="str">
        <f t="shared" si="144"/>
        <v>-</v>
      </c>
      <c r="AD271" s="67" t="str">
        <f t="shared" si="144"/>
        <v>-</v>
      </c>
    </row>
    <row r="272" spans="1:37" ht="90" outlineLevel="2" x14ac:dyDescent="0.25">
      <c r="A272" s="262" t="s">
        <v>1797</v>
      </c>
      <c r="B272" s="168" t="s">
        <v>1224</v>
      </c>
      <c r="C272" s="167" t="s">
        <v>321</v>
      </c>
      <c r="D272" s="272" t="s">
        <v>319</v>
      </c>
      <c r="E272" s="167">
        <v>100</v>
      </c>
      <c r="F272" s="167">
        <v>70</v>
      </c>
      <c r="G272" s="167">
        <v>100</v>
      </c>
      <c r="H272" s="286">
        <f t="shared" ref="H272" si="145">G272/F272</f>
        <v>1.4285714285714286</v>
      </c>
      <c r="I272" s="286">
        <f t="shared" ref="I272" si="146">G272/E272</f>
        <v>1</v>
      </c>
      <c r="J272" s="155" t="s">
        <v>1450</v>
      </c>
      <c r="K272" s="167" t="s">
        <v>41</v>
      </c>
      <c r="L272" s="312" t="s">
        <v>1215</v>
      </c>
      <c r="M272" s="40">
        <v>1</v>
      </c>
      <c r="N272" s="41">
        <f t="shared" si="142"/>
        <v>1</v>
      </c>
      <c r="O272" s="41">
        <f t="shared" si="143"/>
        <v>1</v>
      </c>
      <c r="AC272" s="67">
        <f t="shared" si="144"/>
        <v>1.4285714285714286</v>
      </c>
      <c r="AD272" s="67">
        <f t="shared" si="144"/>
        <v>1</v>
      </c>
    </row>
    <row r="273" spans="1:37" ht="45" outlineLevel="2" x14ac:dyDescent="0.25">
      <c r="A273" s="262" t="s">
        <v>1798</v>
      </c>
      <c r="B273" s="168" t="s">
        <v>1225</v>
      </c>
      <c r="C273" s="167" t="s">
        <v>321</v>
      </c>
      <c r="D273" s="272" t="s">
        <v>319</v>
      </c>
      <c r="E273" s="167">
        <v>0</v>
      </c>
      <c r="F273" s="167">
        <v>0</v>
      </c>
      <c r="G273" s="167">
        <v>0</v>
      </c>
      <c r="H273" s="286" t="s">
        <v>41</v>
      </c>
      <c r="I273" s="286" t="s">
        <v>41</v>
      </c>
      <c r="J273" s="155"/>
      <c r="K273" s="155"/>
      <c r="L273" s="312" t="s">
        <v>1215</v>
      </c>
      <c r="M273" s="40">
        <v>1</v>
      </c>
      <c r="N273" s="41" t="s">
        <v>41</v>
      </c>
      <c r="O273" s="41" t="s">
        <v>41</v>
      </c>
      <c r="AC273" s="67" t="str">
        <f t="shared" si="144"/>
        <v>-</v>
      </c>
      <c r="AD273" s="67" t="str">
        <f t="shared" si="144"/>
        <v>-</v>
      </c>
    </row>
    <row r="274" spans="1:37" s="47" customFormat="1" ht="18.75" customHeight="1" outlineLevel="1" x14ac:dyDescent="0.25">
      <c r="A274" s="68" t="s">
        <v>1799</v>
      </c>
      <c r="B274" s="572" t="s">
        <v>490</v>
      </c>
      <c r="C274" s="573"/>
      <c r="D274" s="573"/>
      <c r="E274" s="573"/>
      <c r="F274" s="573"/>
      <c r="G274" s="574"/>
      <c r="H274" s="69">
        <f>AVERAGE(N275:N277)</f>
        <v>1</v>
      </c>
      <c r="I274" s="69">
        <f>AVERAGE(O275:O277)</f>
        <v>1.25</v>
      </c>
      <c r="J274" s="70"/>
      <c r="K274" s="70"/>
      <c r="L274" s="71"/>
      <c r="M274" s="64"/>
      <c r="N274" s="212"/>
      <c r="O274" s="41"/>
      <c r="P274" s="49"/>
      <c r="Q274" s="49"/>
      <c r="R274" s="104">
        <f>COUNTA(C275:C277)</f>
        <v>3</v>
      </c>
      <c r="S274" s="103">
        <v>0</v>
      </c>
      <c r="T274" s="104">
        <f>COUNTIFS(AC275:AC277,"&gt;1,50")</f>
        <v>1</v>
      </c>
      <c r="U274" s="104">
        <f>COUNTIFS(AC275:AC277,"&gt;=0,995",AC275:AC277,"&lt;=1,5")</f>
        <v>2</v>
      </c>
      <c r="V274" s="104">
        <f>COUNTIFS(AC275:AC277,"&gt;=0,85",AC275:AC277,"&lt;0,995")</f>
        <v>0</v>
      </c>
      <c r="W274" s="104">
        <f>COUNTIFS(AC275:AC277,"&lt;0,85")</f>
        <v>0</v>
      </c>
      <c r="X274" s="52"/>
      <c r="Z274" s="96">
        <f>COUNTIFS(AD275:AD277,"&gt;=1,01")</f>
        <v>2</v>
      </c>
      <c r="AA274" s="96">
        <f>COUNTIFS(AD275:AD277,"&gt;=0,99",AD275:AD277,"&lt;1,01")</f>
        <v>0</v>
      </c>
      <c r="AB274" s="97">
        <f>COUNTIFS(AD275:AD277,"&lt;0,99")</f>
        <v>0</v>
      </c>
      <c r="AC274" s="67"/>
      <c r="AD274" s="67"/>
      <c r="AK274" s="47">
        <f>SUM(T274:X274)-R274</f>
        <v>0</v>
      </c>
    </row>
    <row r="275" spans="1:37" ht="56.25" outlineLevel="2" x14ac:dyDescent="0.25">
      <c r="A275" s="262" t="s">
        <v>1800</v>
      </c>
      <c r="B275" s="168" t="s">
        <v>1226</v>
      </c>
      <c r="C275" s="167" t="s">
        <v>321</v>
      </c>
      <c r="D275" s="272" t="s">
        <v>319</v>
      </c>
      <c r="E275" s="167">
        <v>45.5</v>
      </c>
      <c r="F275" s="167">
        <v>58</v>
      </c>
      <c r="G275" s="167">
        <v>59.4</v>
      </c>
      <c r="H275" s="286">
        <f>G275/F275</f>
        <v>1.0241379310344827</v>
      </c>
      <c r="I275" s="286">
        <f t="shared" ref="I275:I277" si="147">G275/E275</f>
        <v>1.3054945054945055</v>
      </c>
      <c r="J275" s="167" t="s">
        <v>1227</v>
      </c>
      <c r="K275" s="167" t="s">
        <v>1228</v>
      </c>
      <c r="L275" s="312" t="s">
        <v>1215</v>
      </c>
      <c r="M275" s="40">
        <v>-1</v>
      </c>
      <c r="N275" s="41">
        <f t="shared" ref="N275:N291" si="148">IF(H275&gt;1,1,H275)</f>
        <v>1</v>
      </c>
      <c r="O275" s="41">
        <f t="shared" si="143"/>
        <v>1.25</v>
      </c>
      <c r="AC275" s="67">
        <f t="shared" si="144"/>
        <v>1.0241379310344827</v>
      </c>
      <c r="AD275" s="67">
        <f t="shared" si="144"/>
        <v>1.3054945054945055</v>
      </c>
    </row>
    <row r="276" spans="1:37" ht="67.5" outlineLevel="2" x14ac:dyDescent="0.25">
      <c r="A276" s="262" t="s">
        <v>1801</v>
      </c>
      <c r="B276" s="168" t="s">
        <v>1230</v>
      </c>
      <c r="C276" s="167" t="s">
        <v>327</v>
      </c>
      <c r="D276" s="272" t="s">
        <v>319</v>
      </c>
      <c r="E276" s="167">
        <v>1052</v>
      </c>
      <c r="F276" s="167">
        <v>320</v>
      </c>
      <c r="G276" s="167">
        <v>1372</v>
      </c>
      <c r="H276" s="286">
        <f>G276/F276</f>
        <v>4.2874999999999996</v>
      </c>
      <c r="I276" s="286">
        <f t="shared" si="147"/>
        <v>1.3041825095057034</v>
      </c>
      <c r="J276" s="167" t="s">
        <v>1231</v>
      </c>
      <c r="K276" s="167" t="s">
        <v>41</v>
      </c>
      <c r="L276" s="312" t="s">
        <v>1215</v>
      </c>
      <c r="M276" s="40">
        <v>1</v>
      </c>
      <c r="N276" s="41">
        <f t="shared" si="148"/>
        <v>1</v>
      </c>
      <c r="O276" s="41">
        <f t="shared" si="143"/>
        <v>1.25</v>
      </c>
      <c r="AC276" s="67">
        <f t="shared" si="144"/>
        <v>4.2874999999999996</v>
      </c>
      <c r="AD276" s="67">
        <f t="shared" si="144"/>
        <v>1.3041825095057034</v>
      </c>
    </row>
    <row r="277" spans="1:37" ht="67.5" outlineLevel="2" x14ac:dyDescent="0.25">
      <c r="A277" s="262" t="s">
        <v>1802</v>
      </c>
      <c r="B277" s="168" t="s">
        <v>1232</v>
      </c>
      <c r="C277" s="167" t="s">
        <v>1233</v>
      </c>
      <c r="D277" s="137" t="s">
        <v>339</v>
      </c>
      <c r="E277" s="167">
        <v>1</v>
      </c>
      <c r="F277" s="167">
        <v>1</v>
      </c>
      <c r="G277" s="167">
        <v>1</v>
      </c>
      <c r="H277" s="286">
        <f>G277/F277</f>
        <v>1</v>
      </c>
      <c r="I277" s="286">
        <f t="shared" si="147"/>
        <v>1</v>
      </c>
      <c r="J277" s="167" t="s">
        <v>41</v>
      </c>
      <c r="K277" s="167" t="s">
        <v>41</v>
      </c>
      <c r="L277" s="312" t="s">
        <v>1215</v>
      </c>
      <c r="M277" s="40">
        <v>1</v>
      </c>
      <c r="N277" s="41">
        <f t="shared" si="148"/>
        <v>1</v>
      </c>
      <c r="O277" s="41" t="s">
        <v>41</v>
      </c>
      <c r="AC277" s="67">
        <f t="shared" si="144"/>
        <v>1</v>
      </c>
      <c r="AD277" s="67" t="s">
        <v>41</v>
      </c>
    </row>
    <row r="278" spans="1:37" s="47" customFormat="1" ht="20.25" customHeight="1" x14ac:dyDescent="0.25">
      <c r="A278" s="493" t="s">
        <v>199</v>
      </c>
      <c r="B278" s="577" t="s">
        <v>818</v>
      </c>
      <c r="C278" s="577"/>
      <c r="D278" s="577"/>
      <c r="E278" s="577"/>
      <c r="F278" s="577"/>
      <c r="G278" s="577"/>
      <c r="H278" s="494">
        <f>AVERAGE(N279:N285,N287:N291,N293:N298,N300:N305,N307:N315,N317:N319)</f>
        <v>0.80434790113039456</v>
      </c>
      <c r="I278" s="494">
        <f>AVERAGE(O279:O285,O287:O291,O293:O298,O300:O305,O307:O315,O317:O319)</f>
        <v>1.0222298083597967</v>
      </c>
      <c r="J278" s="495"/>
      <c r="K278" s="495"/>
      <c r="L278" s="496"/>
      <c r="M278" s="40"/>
      <c r="N278" s="41"/>
      <c r="O278" s="41"/>
      <c r="P278" s="49"/>
      <c r="Q278" s="49"/>
      <c r="R278" s="110">
        <f>COUNTA(C279:C319)</f>
        <v>36</v>
      </c>
      <c r="S278" s="102">
        <f>R278-T278-U278-V278-W278</f>
        <v>1</v>
      </c>
      <c r="T278" s="110">
        <f>COUNTIFS(AC279:AC319,"&gt;1,50")</f>
        <v>2</v>
      </c>
      <c r="U278" s="110">
        <f>COUNTIFS(AC279:AC319,"&gt;=0,995",AC279:AC319,"&lt;=1,5")</f>
        <v>22</v>
      </c>
      <c r="V278" s="110">
        <f>COUNTIFS(AC279:AC319,"&gt;=0,85",AC279:AC319,"&lt;0,995")</f>
        <v>3</v>
      </c>
      <c r="W278" s="110">
        <f>COUNTIFS(AC279:AC319,"&lt;0,85")</f>
        <v>8</v>
      </c>
      <c r="X278" s="49"/>
      <c r="Z278" s="100">
        <f>COUNTIFS(AD279:AD319,"&gt;=1,01")</f>
        <v>8</v>
      </c>
      <c r="AA278" s="100">
        <f>COUNTIFS(AD279:AD319,"&gt;=0,99",AD279:AD319,"&lt;1,01")</f>
        <v>8</v>
      </c>
      <c r="AB278" s="101">
        <f>COUNTIFS(AD279:AD319,"&lt;0,99")</f>
        <v>4</v>
      </c>
      <c r="AC278" s="67"/>
      <c r="AD278" s="67"/>
      <c r="AK278" s="47">
        <f>SUM(T278:X278)-R278</f>
        <v>-1</v>
      </c>
    </row>
    <row r="279" spans="1:37" ht="45" outlineLevel="2" x14ac:dyDescent="0.25">
      <c r="A279" s="262" t="s">
        <v>474</v>
      </c>
      <c r="B279" s="85" t="s">
        <v>914</v>
      </c>
      <c r="C279" s="162" t="s">
        <v>321</v>
      </c>
      <c r="D279" s="272" t="s">
        <v>319</v>
      </c>
      <c r="E279" s="326">
        <v>13.6</v>
      </c>
      <c r="F279" s="326">
        <v>13.96</v>
      </c>
      <c r="G279" s="327">
        <v>13.6</v>
      </c>
      <c r="H279" s="286">
        <f>F279/G279</f>
        <v>1.0264705882352942</v>
      </c>
      <c r="I279" s="286">
        <f>E279/G279</f>
        <v>1</v>
      </c>
      <c r="J279" s="328" t="s">
        <v>1234</v>
      </c>
      <c r="K279" s="328" t="s">
        <v>1610</v>
      </c>
      <c r="L279" s="39" t="s">
        <v>149</v>
      </c>
      <c r="M279" s="40">
        <v>1</v>
      </c>
      <c r="N279" s="41">
        <f t="shared" si="148"/>
        <v>1</v>
      </c>
      <c r="O279" s="41">
        <f t="shared" ref="O279:O289" si="149">IF(I279&gt;1.25,1.25,I279)</f>
        <v>1</v>
      </c>
      <c r="AC279" s="67">
        <f t="shared" si="144"/>
        <v>1.0264705882352942</v>
      </c>
      <c r="AD279" s="67">
        <f t="shared" si="144"/>
        <v>1</v>
      </c>
    </row>
    <row r="280" spans="1:37" ht="56.25" outlineLevel="2" x14ac:dyDescent="0.25">
      <c r="A280" s="262" t="s">
        <v>475</v>
      </c>
      <c r="B280" s="85" t="s">
        <v>915</v>
      </c>
      <c r="C280" s="162" t="s">
        <v>321</v>
      </c>
      <c r="D280" s="272" t="s">
        <v>319</v>
      </c>
      <c r="E280" s="290">
        <v>66.099999999999994</v>
      </c>
      <c r="F280" s="290">
        <v>75.41</v>
      </c>
      <c r="G280" s="330">
        <v>66.099999999999994</v>
      </c>
      <c r="H280" s="286">
        <f>G280/F280</f>
        <v>0.87654157273571143</v>
      </c>
      <c r="I280" s="286">
        <f>G280/E280</f>
        <v>1</v>
      </c>
      <c r="J280" s="328" t="s">
        <v>1611</v>
      </c>
      <c r="K280" s="328" t="s">
        <v>41</v>
      </c>
      <c r="L280" s="39" t="s">
        <v>149</v>
      </c>
      <c r="M280" s="40">
        <v>1</v>
      </c>
      <c r="N280" s="41">
        <f t="shared" si="148"/>
        <v>0.87654157273571143</v>
      </c>
      <c r="O280" s="41">
        <f t="shared" si="149"/>
        <v>1</v>
      </c>
      <c r="AC280" s="67">
        <f t="shared" si="144"/>
        <v>0.87654157273571143</v>
      </c>
      <c r="AD280" s="67">
        <f t="shared" si="144"/>
        <v>1</v>
      </c>
    </row>
    <row r="281" spans="1:37" ht="33.75" outlineLevel="2" x14ac:dyDescent="0.25">
      <c r="A281" s="262" t="s">
        <v>476</v>
      </c>
      <c r="B281" s="85" t="s">
        <v>916</v>
      </c>
      <c r="C281" s="331" t="s">
        <v>321</v>
      </c>
      <c r="D281" s="332" t="s">
        <v>918</v>
      </c>
      <c r="E281" s="162">
        <v>2.8</v>
      </c>
      <c r="F281" s="162">
        <v>7.7</v>
      </c>
      <c r="G281" s="327">
        <v>7.7</v>
      </c>
      <c r="H281" s="286">
        <f t="shared" ref="H281:H284" si="150">G281/F281</f>
        <v>1</v>
      </c>
      <c r="I281" s="286">
        <f t="shared" ref="I281:I284" si="151">G281/E281</f>
        <v>2.7500000000000004</v>
      </c>
      <c r="J281" s="328" t="s">
        <v>1612</v>
      </c>
      <c r="K281" s="328" t="s">
        <v>41</v>
      </c>
      <c r="L281" s="39" t="s">
        <v>149</v>
      </c>
      <c r="M281" s="40">
        <v>1</v>
      </c>
      <c r="N281" s="41" t="s">
        <v>41</v>
      </c>
      <c r="O281" s="41" t="s">
        <v>41</v>
      </c>
      <c r="AC281" s="67"/>
      <c r="AD281" s="67"/>
    </row>
    <row r="282" spans="1:37" ht="45" outlineLevel="2" x14ac:dyDescent="0.25">
      <c r="A282" s="262" t="s">
        <v>1803</v>
      </c>
      <c r="B282" s="85" t="s">
        <v>917</v>
      </c>
      <c r="C282" s="331" t="s">
        <v>321</v>
      </c>
      <c r="D282" s="332" t="s">
        <v>918</v>
      </c>
      <c r="E282" s="162">
        <v>82.8</v>
      </c>
      <c r="F282" s="162">
        <v>26.1</v>
      </c>
      <c r="G282" s="327">
        <v>99.5</v>
      </c>
      <c r="H282" s="286">
        <f t="shared" si="150"/>
        <v>3.8122605363984672</v>
      </c>
      <c r="I282" s="286">
        <f t="shared" si="151"/>
        <v>1.2016908212560387</v>
      </c>
      <c r="J282" s="328" t="s">
        <v>41</v>
      </c>
      <c r="K282" s="328" t="s">
        <v>41</v>
      </c>
      <c r="L282" s="162" t="s">
        <v>937</v>
      </c>
      <c r="M282" s="40">
        <v>1</v>
      </c>
      <c r="N282" s="41">
        <f t="shared" si="148"/>
        <v>1</v>
      </c>
      <c r="O282" s="41">
        <f t="shared" si="149"/>
        <v>1.2016908212560387</v>
      </c>
      <c r="AC282" s="67">
        <f t="shared" si="144"/>
        <v>3.8122605363984672</v>
      </c>
      <c r="AD282" s="67">
        <f t="shared" si="144"/>
        <v>1.2016908212560387</v>
      </c>
    </row>
    <row r="283" spans="1:37" ht="22.5" customHeight="1" outlineLevel="2" x14ac:dyDescent="0.25">
      <c r="A283" s="262" t="s">
        <v>1804</v>
      </c>
      <c r="B283" s="85" t="s">
        <v>496</v>
      </c>
      <c r="C283" s="162" t="s">
        <v>321</v>
      </c>
      <c r="D283" s="137" t="s">
        <v>339</v>
      </c>
      <c r="E283" s="326">
        <v>37.4</v>
      </c>
      <c r="F283" s="326">
        <v>37.5</v>
      </c>
      <c r="G283" s="326">
        <v>37.4</v>
      </c>
      <c r="H283" s="286">
        <f t="shared" si="150"/>
        <v>0.99733333333333329</v>
      </c>
      <c r="I283" s="286" t="s">
        <v>41</v>
      </c>
      <c r="J283" s="328" t="s">
        <v>1613</v>
      </c>
      <c r="K283" s="328" t="s">
        <v>41</v>
      </c>
      <c r="L283" s="39" t="s">
        <v>149</v>
      </c>
      <c r="M283" s="40">
        <v>0</v>
      </c>
      <c r="N283" s="41">
        <f t="shared" si="148"/>
        <v>0.99733333333333329</v>
      </c>
      <c r="O283" s="41" t="s">
        <v>41</v>
      </c>
      <c r="AC283" s="67">
        <f t="shared" si="144"/>
        <v>0.99733333333333329</v>
      </c>
      <c r="AD283" s="67" t="s">
        <v>41</v>
      </c>
    </row>
    <row r="284" spans="1:37" ht="33.75" outlineLevel="2" x14ac:dyDescent="0.25">
      <c r="A284" s="262" t="s">
        <v>1805</v>
      </c>
      <c r="B284" s="85" t="s">
        <v>497</v>
      </c>
      <c r="C284" s="162" t="s">
        <v>321</v>
      </c>
      <c r="D284" s="272" t="s">
        <v>319</v>
      </c>
      <c r="E284" s="326">
        <v>99.5</v>
      </c>
      <c r="F284" s="326">
        <v>100</v>
      </c>
      <c r="G284" s="326">
        <v>99.5</v>
      </c>
      <c r="H284" s="286">
        <f t="shared" si="150"/>
        <v>0.995</v>
      </c>
      <c r="I284" s="286">
        <f t="shared" si="151"/>
        <v>1</v>
      </c>
      <c r="J284" s="328" t="s">
        <v>1235</v>
      </c>
      <c r="K284" s="328" t="s">
        <v>41</v>
      </c>
      <c r="L284" s="39" t="s">
        <v>149</v>
      </c>
      <c r="M284" s="40">
        <v>1</v>
      </c>
      <c r="N284" s="41">
        <f t="shared" si="148"/>
        <v>0.995</v>
      </c>
      <c r="O284" s="41">
        <f t="shared" si="149"/>
        <v>1</v>
      </c>
      <c r="AC284" s="67">
        <f t="shared" si="144"/>
        <v>0.995</v>
      </c>
      <c r="AD284" s="67">
        <f t="shared" si="144"/>
        <v>1</v>
      </c>
    </row>
    <row r="285" spans="1:37" ht="56.25" outlineLevel="2" x14ac:dyDescent="0.25">
      <c r="A285" s="262" t="s">
        <v>1806</v>
      </c>
      <c r="B285" s="85" t="s">
        <v>1073</v>
      </c>
      <c r="C285" s="331" t="s">
        <v>321</v>
      </c>
      <c r="D285" s="280" t="s">
        <v>302</v>
      </c>
      <c r="E285" s="167">
        <v>73.2</v>
      </c>
      <c r="F285" s="167">
        <v>93.7</v>
      </c>
      <c r="G285" s="327">
        <v>81.8</v>
      </c>
      <c r="H285" s="286">
        <f>F285/G285</f>
        <v>1.145476772616137</v>
      </c>
      <c r="I285" s="286">
        <f>E285/G285</f>
        <v>0.89486552567237165</v>
      </c>
      <c r="J285" s="328" t="s">
        <v>41</v>
      </c>
      <c r="K285" s="328" t="s">
        <v>41</v>
      </c>
      <c r="L285" s="162" t="s">
        <v>937</v>
      </c>
      <c r="M285" s="40">
        <v>-1</v>
      </c>
      <c r="N285" s="41">
        <f t="shared" si="148"/>
        <v>1</v>
      </c>
      <c r="O285" s="41">
        <f t="shared" si="149"/>
        <v>0.89486552567237165</v>
      </c>
      <c r="AC285" s="67">
        <f t="shared" si="144"/>
        <v>1.145476772616137</v>
      </c>
      <c r="AD285" s="67">
        <f t="shared" si="144"/>
        <v>0.89486552567237165</v>
      </c>
    </row>
    <row r="286" spans="1:37" s="47" customFormat="1" outlineLevel="1" x14ac:dyDescent="0.25">
      <c r="A286" s="68" t="s">
        <v>477</v>
      </c>
      <c r="B286" s="571" t="s">
        <v>498</v>
      </c>
      <c r="C286" s="571"/>
      <c r="D286" s="571"/>
      <c r="E286" s="571"/>
      <c r="F286" s="571"/>
      <c r="G286" s="571"/>
      <c r="H286" s="69">
        <f>AVERAGE(N287:N291)</f>
        <v>0.98968058968058981</v>
      </c>
      <c r="I286" s="69">
        <f>AVERAGE(O287:O291)</f>
        <v>1.1102475439936739</v>
      </c>
      <c r="J286" s="70"/>
      <c r="K286" s="70"/>
      <c r="L286" s="71"/>
      <c r="M286" s="40"/>
      <c r="N286" s="41"/>
      <c r="O286" s="41"/>
      <c r="P286" s="49"/>
      <c r="Q286" s="49"/>
      <c r="R286" s="104">
        <f>COUNTA(C287:C291)</f>
        <v>5</v>
      </c>
      <c r="S286" s="103">
        <v>0</v>
      </c>
      <c r="T286" s="104">
        <f>COUNTIFS(AC287:AC291,"&gt;1,50")</f>
        <v>0</v>
      </c>
      <c r="U286" s="104">
        <f>COUNTIFS(AC287:AC291,"&gt;=0,995",AC287:AC291,"&lt;=1,5")</f>
        <v>4</v>
      </c>
      <c r="V286" s="104">
        <f>COUNTIFS(AC287:AC291,"&gt;=0,85",AC287:AC291,"&lt;0,995")</f>
        <v>1</v>
      </c>
      <c r="W286" s="104">
        <f>COUNTIFS(AC287:AC291,"&lt;0,85")</f>
        <v>0</v>
      </c>
      <c r="X286" s="52"/>
      <c r="Z286" s="96">
        <f>COUNTIFS(AD287:AD291,"&gt;=1,01")</f>
        <v>1</v>
      </c>
      <c r="AA286" s="96">
        <f>COUNTIFS(AD287:AD291,"&gt;=0,99",AD287:AD291,"&lt;1,01")</f>
        <v>1</v>
      </c>
      <c r="AB286" s="97">
        <f>COUNTIFS(AD287:AD291,"&lt;0,99")</f>
        <v>0</v>
      </c>
      <c r="AC286" s="67"/>
      <c r="AD286" s="67"/>
      <c r="AK286" s="47">
        <f>SUM(T286:X286)-R286</f>
        <v>0</v>
      </c>
    </row>
    <row r="287" spans="1:37" ht="33.75" outlineLevel="2" x14ac:dyDescent="0.25">
      <c r="A287" s="262" t="s">
        <v>479</v>
      </c>
      <c r="B287" s="163" t="s">
        <v>500</v>
      </c>
      <c r="C287" s="162" t="s">
        <v>321</v>
      </c>
      <c r="D287" s="289" t="s">
        <v>339</v>
      </c>
      <c r="E287" s="326">
        <v>7.89</v>
      </c>
      <c r="F287" s="326">
        <v>7.89</v>
      </c>
      <c r="G287" s="327">
        <v>7.89</v>
      </c>
      <c r="H287" s="286">
        <f t="shared" ref="H287:H291" si="152">G287/F287</f>
        <v>1</v>
      </c>
      <c r="I287" s="286">
        <f t="shared" ref="I287:I290" si="153">G287/E287</f>
        <v>1</v>
      </c>
      <c r="J287" s="329" t="s">
        <v>41</v>
      </c>
      <c r="K287" s="329" t="s">
        <v>41</v>
      </c>
      <c r="L287" s="39" t="s">
        <v>149</v>
      </c>
      <c r="M287" s="40">
        <v>0</v>
      </c>
      <c r="N287" s="41">
        <f t="shared" si="148"/>
        <v>1</v>
      </c>
      <c r="O287" s="41" t="s">
        <v>41</v>
      </c>
      <c r="AC287" s="67">
        <f t="shared" si="144"/>
        <v>1</v>
      </c>
      <c r="AD287" s="67" t="s">
        <v>41</v>
      </c>
    </row>
    <row r="288" spans="1:37" ht="33.75" outlineLevel="2" x14ac:dyDescent="0.25">
      <c r="A288" s="262" t="s">
        <v>480</v>
      </c>
      <c r="B288" s="163" t="s">
        <v>502</v>
      </c>
      <c r="C288" s="162" t="s">
        <v>321</v>
      </c>
      <c r="D288" s="272" t="s">
        <v>319</v>
      </c>
      <c r="E288" s="326">
        <v>7.7</v>
      </c>
      <c r="F288" s="326">
        <v>8.14</v>
      </c>
      <c r="G288" s="327">
        <v>7.72</v>
      </c>
      <c r="H288" s="286">
        <f t="shared" si="152"/>
        <v>0.94840294840294825</v>
      </c>
      <c r="I288" s="286">
        <f t="shared" si="153"/>
        <v>1.0025974025974025</v>
      </c>
      <c r="J288" s="329" t="s">
        <v>1234</v>
      </c>
      <c r="K288" s="329" t="s">
        <v>1610</v>
      </c>
      <c r="L288" s="39" t="s">
        <v>149</v>
      </c>
      <c r="M288" s="40">
        <v>1</v>
      </c>
      <c r="N288" s="41">
        <f t="shared" si="148"/>
        <v>0.94840294840294825</v>
      </c>
      <c r="O288" s="41">
        <f t="shared" si="149"/>
        <v>1.0025974025974025</v>
      </c>
      <c r="AC288" s="67">
        <f t="shared" si="144"/>
        <v>0.94840294840294825</v>
      </c>
      <c r="AD288" s="67">
        <f t="shared" si="144"/>
        <v>1.0025974025974025</v>
      </c>
    </row>
    <row r="289" spans="1:37" ht="45" outlineLevel="2" x14ac:dyDescent="0.25">
      <c r="A289" s="262" t="s">
        <v>481</v>
      </c>
      <c r="B289" s="163" t="s">
        <v>919</v>
      </c>
      <c r="C289" s="242" t="s">
        <v>321</v>
      </c>
      <c r="D289" s="208" t="s">
        <v>319</v>
      </c>
      <c r="E289" s="326">
        <v>67.83</v>
      </c>
      <c r="F289" s="333">
        <v>82.61</v>
      </c>
      <c r="G289" s="327">
        <v>82.61</v>
      </c>
      <c r="H289" s="286">
        <f t="shared" si="152"/>
        <v>1</v>
      </c>
      <c r="I289" s="286">
        <f t="shared" si="153"/>
        <v>1.2178976853899455</v>
      </c>
      <c r="J289" s="329" t="s">
        <v>41</v>
      </c>
      <c r="K289" s="329" t="s">
        <v>41</v>
      </c>
      <c r="L289" s="39" t="s">
        <v>149</v>
      </c>
      <c r="M289" s="40">
        <v>1</v>
      </c>
      <c r="N289" s="41">
        <f t="shared" si="148"/>
        <v>1</v>
      </c>
      <c r="O289" s="41">
        <f t="shared" si="149"/>
        <v>1.2178976853899455</v>
      </c>
      <c r="AC289" s="67">
        <f t="shared" si="144"/>
        <v>1</v>
      </c>
      <c r="AD289" s="67">
        <f t="shared" si="144"/>
        <v>1.2178976853899455</v>
      </c>
    </row>
    <row r="290" spans="1:37" ht="45" outlineLevel="2" x14ac:dyDescent="0.25">
      <c r="A290" s="262" t="s">
        <v>483</v>
      </c>
      <c r="B290" s="163" t="s">
        <v>920</v>
      </c>
      <c r="C290" s="162" t="s">
        <v>321</v>
      </c>
      <c r="D290" s="289" t="s">
        <v>339</v>
      </c>
      <c r="E290" s="334">
        <v>99</v>
      </c>
      <c r="F290" s="334">
        <v>99</v>
      </c>
      <c r="G290" s="327">
        <v>99</v>
      </c>
      <c r="H290" s="286">
        <f t="shared" si="152"/>
        <v>1</v>
      </c>
      <c r="I290" s="286">
        <f t="shared" si="153"/>
        <v>1</v>
      </c>
      <c r="J290" s="329" t="s">
        <v>41</v>
      </c>
      <c r="K290" s="329" t="s">
        <v>41</v>
      </c>
      <c r="L290" s="39" t="s">
        <v>149</v>
      </c>
      <c r="M290" s="40">
        <v>0</v>
      </c>
      <c r="N290" s="41">
        <f t="shared" si="148"/>
        <v>1</v>
      </c>
      <c r="O290" s="41" t="s">
        <v>41</v>
      </c>
      <c r="AC290" s="67">
        <f t="shared" si="144"/>
        <v>1</v>
      </c>
      <c r="AD290" s="67" t="s">
        <v>41</v>
      </c>
    </row>
    <row r="291" spans="1:37" ht="45" outlineLevel="2" x14ac:dyDescent="0.25">
      <c r="A291" s="262" t="s">
        <v>1807</v>
      </c>
      <c r="B291" s="163" t="s">
        <v>1615</v>
      </c>
      <c r="C291" s="162" t="s">
        <v>343</v>
      </c>
      <c r="D291" s="289" t="s">
        <v>339</v>
      </c>
      <c r="E291" s="334">
        <v>0</v>
      </c>
      <c r="F291" s="334">
        <v>1</v>
      </c>
      <c r="G291" s="327">
        <v>1</v>
      </c>
      <c r="H291" s="286">
        <f t="shared" si="152"/>
        <v>1</v>
      </c>
      <c r="I291" s="286" t="s">
        <v>41</v>
      </c>
      <c r="J291" s="329" t="s">
        <v>41</v>
      </c>
      <c r="K291" s="329" t="s">
        <v>41</v>
      </c>
      <c r="L291" s="39" t="s">
        <v>149</v>
      </c>
      <c r="M291" s="40">
        <v>0</v>
      </c>
      <c r="N291" s="41">
        <f t="shared" si="148"/>
        <v>1</v>
      </c>
      <c r="O291" s="41" t="s">
        <v>41</v>
      </c>
      <c r="AC291" s="67">
        <f t="shared" si="144"/>
        <v>1</v>
      </c>
      <c r="AD291" s="67" t="str">
        <f t="shared" si="144"/>
        <v>-</v>
      </c>
    </row>
    <row r="292" spans="1:37" s="47" customFormat="1" outlineLevel="1" x14ac:dyDescent="0.25">
      <c r="A292" s="68" t="s">
        <v>485</v>
      </c>
      <c r="B292" s="571" t="s">
        <v>503</v>
      </c>
      <c r="C292" s="571"/>
      <c r="D292" s="571"/>
      <c r="E292" s="571"/>
      <c r="F292" s="571"/>
      <c r="G292" s="571"/>
      <c r="H292" s="69">
        <f>AVERAGE(N293:N298)</f>
        <v>0.70736562597125019</v>
      </c>
      <c r="I292" s="69">
        <f>AVERAGE(O293:O298)</f>
        <v>1.0764765170474162</v>
      </c>
      <c r="J292" s="70"/>
      <c r="K292" s="70"/>
      <c r="L292" s="71"/>
      <c r="M292" s="40"/>
      <c r="N292" s="212"/>
      <c r="O292" s="212"/>
      <c r="P292" s="49"/>
      <c r="Q292" s="49"/>
      <c r="R292" s="104">
        <f>COUNTA(C293:C298)</f>
        <v>6</v>
      </c>
      <c r="S292" s="103">
        <v>0</v>
      </c>
      <c r="T292" s="104">
        <f>COUNTIFS(AC293:AC298,"&gt;1,50")</f>
        <v>1</v>
      </c>
      <c r="U292" s="104">
        <f>COUNTIFS(AC293:AC298,"&gt;=0,995",AC293:AC298,"&lt;=1,5")</f>
        <v>2</v>
      </c>
      <c r="V292" s="104">
        <f>COUNTIFS(AC293:AC298,"&gt;=0,85",AC293:AC298,"&lt;0,995")</f>
        <v>0</v>
      </c>
      <c r="W292" s="104">
        <f>COUNTIFS(AC293:AC298,"&lt;0,85")</f>
        <v>3</v>
      </c>
      <c r="X292" s="52"/>
      <c r="Z292" s="96">
        <f>COUNTIFS(AD293:AD298,"&gt;=1,01")</f>
        <v>4</v>
      </c>
      <c r="AA292" s="96">
        <f>COUNTIFS(AD293:AD298,"&gt;=0,99",AD293:AD298,"&lt;1,01")</f>
        <v>0</v>
      </c>
      <c r="AB292" s="97">
        <f>COUNTIFS(AD293:AD298,"&lt;0,99")</f>
        <v>1</v>
      </c>
      <c r="AC292" s="67"/>
      <c r="AD292" s="67"/>
      <c r="AK292" s="47">
        <f>SUM(T292:X292)-R292</f>
        <v>0</v>
      </c>
    </row>
    <row r="293" spans="1:37" ht="33.75" outlineLevel="2" x14ac:dyDescent="0.25">
      <c r="A293" s="262" t="s">
        <v>487</v>
      </c>
      <c r="B293" s="85" t="s">
        <v>505</v>
      </c>
      <c r="C293" s="162" t="s">
        <v>321</v>
      </c>
      <c r="D293" s="272" t="s">
        <v>319</v>
      </c>
      <c r="E293" s="334">
        <v>90.9</v>
      </c>
      <c r="F293" s="334">
        <v>84</v>
      </c>
      <c r="G293" s="334">
        <v>95.9</v>
      </c>
      <c r="H293" s="286">
        <f t="shared" ref="H293:H298" si="154">G293/F293</f>
        <v>1.1416666666666668</v>
      </c>
      <c r="I293" s="286">
        <f t="shared" ref="I293:I297" si="155">G293/E293</f>
        <v>1.0550055005500549</v>
      </c>
      <c r="J293" s="329" t="s">
        <v>41</v>
      </c>
      <c r="K293" s="329" t="s">
        <v>41</v>
      </c>
      <c r="L293" s="39" t="s">
        <v>149</v>
      </c>
      <c r="M293" s="40">
        <v>1</v>
      </c>
      <c r="N293" s="41">
        <f t="shared" ref="N293:N328" si="156">IF(H293&gt;1,1,H293)</f>
        <v>1</v>
      </c>
      <c r="O293" s="41">
        <f t="shared" ref="O293:O301" si="157">IF(I293&gt;1.25,1.25,I293)</f>
        <v>1.0550055005500549</v>
      </c>
      <c r="AC293" s="67">
        <f t="shared" si="144"/>
        <v>1.1416666666666668</v>
      </c>
      <c r="AD293" s="67">
        <f t="shared" si="144"/>
        <v>1.0550055005500549</v>
      </c>
    </row>
    <row r="294" spans="1:37" ht="38.25" customHeight="1" outlineLevel="2" x14ac:dyDescent="0.25">
      <c r="A294" s="262" t="s">
        <v>488</v>
      </c>
      <c r="B294" s="85" t="s">
        <v>508</v>
      </c>
      <c r="C294" s="162" t="s">
        <v>321</v>
      </c>
      <c r="D294" s="272" t="s">
        <v>319</v>
      </c>
      <c r="E294" s="334">
        <v>24.3</v>
      </c>
      <c r="F294" s="334">
        <v>37</v>
      </c>
      <c r="G294" s="334">
        <v>26.5</v>
      </c>
      <c r="H294" s="286">
        <f t="shared" si="154"/>
        <v>0.71621621621621623</v>
      </c>
      <c r="I294" s="286">
        <f t="shared" si="155"/>
        <v>1.0905349794238683</v>
      </c>
      <c r="J294" s="329" t="s">
        <v>1236</v>
      </c>
      <c r="K294" s="329" t="s">
        <v>923</v>
      </c>
      <c r="L294" s="39" t="s">
        <v>149</v>
      </c>
      <c r="M294" s="40">
        <v>1</v>
      </c>
      <c r="N294" s="41">
        <f t="shared" si="156"/>
        <v>0.71621621621621623</v>
      </c>
      <c r="O294" s="41">
        <f t="shared" si="157"/>
        <v>1.0905349794238683</v>
      </c>
      <c r="AC294" s="67">
        <f t="shared" si="144"/>
        <v>0.71621621621621623</v>
      </c>
      <c r="AD294" s="67">
        <f t="shared" si="144"/>
        <v>1.0905349794238683</v>
      </c>
    </row>
    <row r="295" spans="1:37" ht="56.25" outlineLevel="2" x14ac:dyDescent="0.25">
      <c r="A295" s="262" t="s">
        <v>1218</v>
      </c>
      <c r="B295" s="85" t="s">
        <v>510</v>
      </c>
      <c r="C295" s="306" t="s">
        <v>511</v>
      </c>
      <c r="D295" s="272" t="s">
        <v>319</v>
      </c>
      <c r="E295" s="334">
        <v>21.7</v>
      </c>
      <c r="F295" s="334">
        <v>20.9</v>
      </c>
      <c r="G295" s="334">
        <v>29.6</v>
      </c>
      <c r="H295" s="286">
        <f t="shared" si="154"/>
        <v>1.4162679425837321</v>
      </c>
      <c r="I295" s="286">
        <f t="shared" si="155"/>
        <v>1.3640552995391706</v>
      </c>
      <c r="J295" s="329" t="s">
        <v>41</v>
      </c>
      <c r="K295" s="329" t="s">
        <v>41</v>
      </c>
      <c r="L295" s="39" t="s">
        <v>149</v>
      </c>
      <c r="M295" s="40">
        <v>1</v>
      </c>
      <c r="N295" s="41">
        <f t="shared" si="156"/>
        <v>1</v>
      </c>
      <c r="O295" s="41">
        <f t="shared" si="157"/>
        <v>1.25</v>
      </c>
      <c r="AC295" s="67">
        <f t="shared" si="144"/>
        <v>1.4162679425837321</v>
      </c>
      <c r="AD295" s="67">
        <f t="shared" si="144"/>
        <v>1.3640552995391706</v>
      </c>
    </row>
    <row r="296" spans="1:37" ht="33.75" outlineLevel="2" x14ac:dyDescent="0.25">
      <c r="A296" s="262" t="s">
        <v>1219</v>
      </c>
      <c r="B296" s="85" t="s">
        <v>921</v>
      </c>
      <c r="C296" s="162" t="s">
        <v>321</v>
      </c>
      <c r="D296" s="272" t="s">
        <v>319</v>
      </c>
      <c r="E296" s="334">
        <v>99.7</v>
      </c>
      <c r="F296" s="334">
        <v>100</v>
      </c>
      <c r="G296" s="334">
        <v>178.6</v>
      </c>
      <c r="H296" s="286">
        <f t="shared" si="154"/>
        <v>1.786</v>
      </c>
      <c r="I296" s="286">
        <f t="shared" si="155"/>
        <v>1.7913741223671011</v>
      </c>
      <c r="J296" s="329" t="s">
        <v>41</v>
      </c>
      <c r="K296" s="329" t="s">
        <v>41</v>
      </c>
      <c r="L296" s="39" t="s">
        <v>149</v>
      </c>
      <c r="M296" s="40">
        <v>1</v>
      </c>
      <c r="N296" s="41">
        <f t="shared" si="156"/>
        <v>1</v>
      </c>
      <c r="O296" s="41">
        <f t="shared" si="157"/>
        <v>1.25</v>
      </c>
      <c r="AC296" s="67">
        <f t="shared" si="144"/>
        <v>1.786</v>
      </c>
      <c r="AD296" s="67">
        <f t="shared" si="144"/>
        <v>1.7913741223671011</v>
      </c>
    </row>
    <row r="297" spans="1:37" ht="33.75" outlineLevel="2" x14ac:dyDescent="0.25">
      <c r="A297" s="262" t="s">
        <v>1220</v>
      </c>
      <c r="B297" s="85" t="s">
        <v>922</v>
      </c>
      <c r="C297" s="162" t="s">
        <v>321</v>
      </c>
      <c r="D297" s="272" t="s">
        <v>319</v>
      </c>
      <c r="E297" s="334">
        <v>15.2</v>
      </c>
      <c r="F297" s="334">
        <v>26.7</v>
      </c>
      <c r="G297" s="334">
        <v>11.2</v>
      </c>
      <c r="H297" s="286">
        <f t="shared" si="154"/>
        <v>0.41947565543071158</v>
      </c>
      <c r="I297" s="286">
        <f t="shared" si="155"/>
        <v>0.73684210526315785</v>
      </c>
      <c r="J297" s="329" t="s">
        <v>924</v>
      </c>
      <c r="K297" s="329" t="s">
        <v>1618</v>
      </c>
      <c r="L297" s="39" t="s">
        <v>149</v>
      </c>
      <c r="M297" s="40">
        <v>1</v>
      </c>
      <c r="N297" s="41">
        <f t="shared" si="156"/>
        <v>0.41947565543071158</v>
      </c>
      <c r="O297" s="41">
        <f t="shared" si="157"/>
        <v>0.73684210526315785</v>
      </c>
      <c r="AC297" s="67">
        <f t="shared" si="144"/>
        <v>0.41947565543071158</v>
      </c>
      <c r="AD297" s="67">
        <f t="shared" si="144"/>
        <v>0.73684210526315785</v>
      </c>
    </row>
    <row r="298" spans="1:37" ht="45" outlineLevel="2" x14ac:dyDescent="0.25">
      <c r="A298" s="262" t="s">
        <v>1223</v>
      </c>
      <c r="B298" s="85" t="s">
        <v>1616</v>
      </c>
      <c r="C298" s="162" t="s">
        <v>1617</v>
      </c>
      <c r="D298" s="272" t="s">
        <v>319</v>
      </c>
      <c r="E298" s="334" t="s">
        <v>41</v>
      </c>
      <c r="F298" s="334">
        <v>2600.6</v>
      </c>
      <c r="G298" s="334">
        <v>282.17</v>
      </c>
      <c r="H298" s="286">
        <f t="shared" si="154"/>
        <v>0.10850188418057373</v>
      </c>
      <c r="I298" s="286" t="s">
        <v>41</v>
      </c>
      <c r="J298" s="329" t="s">
        <v>1237</v>
      </c>
      <c r="K298" s="329" t="s">
        <v>925</v>
      </c>
      <c r="L298" s="39" t="s">
        <v>149</v>
      </c>
      <c r="M298" s="40">
        <v>1</v>
      </c>
      <c r="N298" s="41">
        <f t="shared" si="156"/>
        <v>0.10850188418057373</v>
      </c>
      <c r="O298" s="41" t="s">
        <v>41</v>
      </c>
      <c r="AC298" s="67">
        <f t="shared" si="144"/>
        <v>0.10850188418057373</v>
      </c>
      <c r="AD298" s="67" t="str">
        <f t="shared" si="144"/>
        <v>-</v>
      </c>
    </row>
    <row r="299" spans="1:37" s="47" customFormat="1" outlineLevel="1" x14ac:dyDescent="0.25">
      <c r="A299" s="68" t="s">
        <v>489</v>
      </c>
      <c r="B299" s="572" t="s">
        <v>513</v>
      </c>
      <c r="C299" s="573"/>
      <c r="D299" s="573"/>
      <c r="E299" s="573"/>
      <c r="F299" s="573"/>
      <c r="G299" s="574"/>
      <c r="H299" s="69">
        <f>AVERAGE(N300:N305)</f>
        <v>0.69198823651003938</v>
      </c>
      <c r="I299" s="69">
        <f>AVERAGE(O300:O305)</f>
        <v>1.0269836639439907</v>
      </c>
      <c r="J299" s="70"/>
      <c r="K299" s="70"/>
      <c r="L299" s="71"/>
      <c r="M299" s="40"/>
      <c r="N299" s="41"/>
      <c r="O299" s="41"/>
      <c r="P299" s="49"/>
      <c r="Q299" s="49"/>
      <c r="R299" s="104">
        <f>COUNTA(C300:C305)</f>
        <v>6</v>
      </c>
      <c r="S299" s="103">
        <v>0</v>
      </c>
      <c r="T299" s="104">
        <f>COUNTIFS(AC300:AC305,"&gt;1,50")</f>
        <v>0</v>
      </c>
      <c r="U299" s="104">
        <f>COUNTIFS(AC300:AC305,"&gt;=0,995",AC300:AC305,"&lt;=1,5")</f>
        <v>4</v>
      </c>
      <c r="V299" s="104">
        <f>COUNTIFS(AC300:AC305,"&gt;=0,85",AC300:AC305,"&lt;0,995")</f>
        <v>0</v>
      </c>
      <c r="W299" s="104">
        <f>COUNTIFS(AC300:AC305,"&lt;0,85")</f>
        <v>2</v>
      </c>
      <c r="X299" s="52">
        <v>1</v>
      </c>
      <c r="Z299" s="96">
        <f>COUNTIFS(AD300:AD305,"&gt;=1,01")</f>
        <v>1</v>
      </c>
      <c r="AA299" s="96">
        <f>COUNTIFS(AD300:AD305,"&gt;=0,99",AD300:AD305,"&lt;1,01")</f>
        <v>1</v>
      </c>
      <c r="AB299" s="97">
        <f>COUNTIFS(AD300:AD305,"&lt;0,99")</f>
        <v>0</v>
      </c>
      <c r="AC299" s="67"/>
      <c r="AD299" s="67"/>
      <c r="AK299" s="47">
        <f>SUM(T299:X299)-R299</f>
        <v>1</v>
      </c>
    </row>
    <row r="300" spans="1:37" ht="81.75" customHeight="1" outlineLevel="2" x14ac:dyDescent="0.25">
      <c r="A300" s="262" t="s">
        <v>1229</v>
      </c>
      <c r="B300" s="85" t="s">
        <v>926</v>
      </c>
      <c r="C300" s="162" t="s">
        <v>514</v>
      </c>
      <c r="D300" s="272" t="s">
        <v>319</v>
      </c>
      <c r="E300" s="290">
        <v>161.69999999999999</v>
      </c>
      <c r="F300" s="290">
        <v>1064.31</v>
      </c>
      <c r="G300" s="290">
        <v>161.69999999999999</v>
      </c>
      <c r="H300" s="286">
        <f t="shared" ref="H300:H303" si="158">G300/F300</f>
        <v>0.15192941906023621</v>
      </c>
      <c r="I300" s="286">
        <f t="shared" ref="I300:I303" si="159">G300/E300</f>
        <v>1</v>
      </c>
      <c r="J300" s="329" t="s">
        <v>1620</v>
      </c>
      <c r="K300" s="329" t="s">
        <v>41</v>
      </c>
      <c r="L300" s="39" t="s">
        <v>149</v>
      </c>
      <c r="M300" s="40">
        <v>1</v>
      </c>
      <c r="N300" s="41">
        <f t="shared" si="156"/>
        <v>0.15192941906023621</v>
      </c>
      <c r="O300" s="41">
        <f t="shared" si="157"/>
        <v>1</v>
      </c>
      <c r="AC300" s="67">
        <f t="shared" si="144"/>
        <v>0.15192941906023621</v>
      </c>
      <c r="AD300" s="67">
        <f t="shared" si="144"/>
        <v>1</v>
      </c>
    </row>
    <row r="301" spans="1:37" ht="45" outlineLevel="2" x14ac:dyDescent="0.25">
      <c r="A301" s="262" t="s">
        <v>491</v>
      </c>
      <c r="B301" s="85" t="s">
        <v>516</v>
      </c>
      <c r="C301" s="162" t="s">
        <v>514</v>
      </c>
      <c r="D301" s="272" t="s">
        <v>319</v>
      </c>
      <c r="E301" s="290">
        <v>34.28</v>
      </c>
      <c r="F301" s="290">
        <v>32.979999999999997</v>
      </c>
      <c r="G301" s="290">
        <v>36.130000000000003</v>
      </c>
      <c r="H301" s="286">
        <f t="shared" si="158"/>
        <v>1.0955124317768345</v>
      </c>
      <c r="I301" s="286">
        <f t="shared" si="159"/>
        <v>1.0539673278879813</v>
      </c>
      <c r="J301" s="329" t="s">
        <v>2070</v>
      </c>
      <c r="K301" s="329" t="s">
        <v>41</v>
      </c>
      <c r="L301" s="39" t="s">
        <v>149</v>
      </c>
      <c r="M301" s="40">
        <v>1</v>
      </c>
      <c r="N301" s="41">
        <f t="shared" si="156"/>
        <v>1</v>
      </c>
      <c r="O301" s="41">
        <f t="shared" si="157"/>
        <v>1.0539673278879813</v>
      </c>
      <c r="AC301" s="67">
        <f t="shared" si="144"/>
        <v>1.0955124317768345</v>
      </c>
      <c r="AD301" s="67">
        <f t="shared" si="144"/>
        <v>1.0539673278879813</v>
      </c>
    </row>
    <row r="302" spans="1:37" ht="49.5" customHeight="1" outlineLevel="2" x14ac:dyDescent="0.25">
      <c r="A302" s="262" t="s">
        <v>1808</v>
      </c>
      <c r="B302" s="85" t="s">
        <v>927</v>
      </c>
      <c r="C302" s="162" t="s">
        <v>343</v>
      </c>
      <c r="D302" s="289" t="s">
        <v>339</v>
      </c>
      <c r="E302" s="290">
        <v>18</v>
      </c>
      <c r="F302" s="290">
        <v>18</v>
      </c>
      <c r="G302" s="290">
        <v>18</v>
      </c>
      <c r="H302" s="286">
        <f t="shared" si="158"/>
        <v>1</v>
      </c>
      <c r="I302" s="286">
        <f t="shared" si="159"/>
        <v>1</v>
      </c>
      <c r="J302" s="329" t="s">
        <v>41</v>
      </c>
      <c r="K302" s="329" t="s">
        <v>41</v>
      </c>
      <c r="L302" s="39" t="s">
        <v>149</v>
      </c>
      <c r="M302" s="40">
        <v>0</v>
      </c>
      <c r="N302" s="41">
        <f t="shared" si="156"/>
        <v>1</v>
      </c>
      <c r="O302" s="41" t="s">
        <v>41</v>
      </c>
      <c r="AC302" s="67">
        <f t="shared" si="144"/>
        <v>1</v>
      </c>
      <c r="AD302" s="67" t="s">
        <v>41</v>
      </c>
    </row>
    <row r="303" spans="1:37" ht="33.75" outlineLevel="2" x14ac:dyDescent="0.25">
      <c r="A303" s="262" t="s">
        <v>1809</v>
      </c>
      <c r="B303" s="85" t="s">
        <v>928</v>
      </c>
      <c r="C303" s="162" t="s">
        <v>514</v>
      </c>
      <c r="D303" s="272" t="s">
        <v>319</v>
      </c>
      <c r="E303" s="284">
        <v>145.03200000000001</v>
      </c>
      <c r="F303" s="284">
        <v>185</v>
      </c>
      <c r="G303" s="290">
        <v>224.83</v>
      </c>
      <c r="H303" s="286">
        <f t="shared" si="158"/>
        <v>1.2152972972972973</v>
      </c>
      <c r="I303" s="286">
        <f t="shared" si="159"/>
        <v>1.5502096089138948</v>
      </c>
      <c r="J303" s="329" t="s">
        <v>2071</v>
      </c>
      <c r="K303" s="329" t="s">
        <v>41</v>
      </c>
      <c r="L303" s="39" t="s">
        <v>149</v>
      </c>
      <c r="M303" s="40">
        <v>1</v>
      </c>
      <c r="N303" s="41">
        <f t="shared" si="156"/>
        <v>1</v>
      </c>
      <c r="O303" s="41" t="s">
        <v>41</v>
      </c>
      <c r="AC303" s="67">
        <f t="shared" si="144"/>
        <v>1.2152972972972973</v>
      </c>
      <c r="AD303" s="67" t="s">
        <v>41</v>
      </c>
    </row>
    <row r="304" spans="1:37" ht="45" outlineLevel="2" x14ac:dyDescent="0.25">
      <c r="A304" s="262" t="s">
        <v>1810</v>
      </c>
      <c r="B304" s="85" t="s">
        <v>929</v>
      </c>
      <c r="C304" s="162" t="s">
        <v>930</v>
      </c>
      <c r="D304" s="272" t="s">
        <v>319</v>
      </c>
      <c r="E304" s="284">
        <v>4.68</v>
      </c>
      <c r="F304" s="284">
        <v>6.15</v>
      </c>
      <c r="G304" s="284">
        <v>7</v>
      </c>
      <c r="H304" s="286">
        <f t="shared" ref="H304:H305" si="160">G304/F304</f>
        <v>1.1382113821138211</v>
      </c>
      <c r="I304" s="286">
        <f t="shared" ref="I304" si="161">G304/E304</f>
        <v>1.4957264957264957</v>
      </c>
      <c r="J304" s="329" t="s">
        <v>2071</v>
      </c>
      <c r="K304" s="329" t="s">
        <v>41</v>
      </c>
      <c r="L304" s="39" t="s">
        <v>149</v>
      </c>
      <c r="M304" s="40">
        <v>1</v>
      </c>
      <c r="N304" s="41">
        <f t="shared" ref="N304:N305" si="162">IF(H304&gt;1,1,H304)</f>
        <v>1</v>
      </c>
      <c r="O304" s="41" t="s">
        <v>41</v>
      </c>
      <c r="AC304" s="67">
        <f t="shared" si="144"/>
        <v>1.1382113821138211</v>
      </c>
      <c r="AD304" s="67" t="s">
        <v>41</v>
      </c>
    </row>
    <row r="305" spans="1:37" ht="33.75" outlineLevel="2" x14ac:dyDescent="0.25">
      <c r="A305" s="262" t="s">
        <v>1811</v>
      </c>
      <c r="B305" s="85" t="s">
        <v>1619</v>
      </c>
      <c r="C305" s="162" t="s">
        <v>343</v>
      </c>
      <c r="D305" s="272" t="s">
        <v>319</v>
      </c>
      <c r="E305" s="284" t="s">
        <v>41</v>
      </c>
      <c r="F305" s="284">
        <v>1</v>
      </c>
      <c r="G305" s="284">
        <v>0</v>
      </c>
      <c r="H305" s="286">
        <f t="shared" si="160"/>
        <v>0</v>
      </c>
      <c r="I305" s="286" t="s">
        <v>41</v>
      </c>
      <c r="J305" s="329" t="s">
        <v>1621</v>
      </c>
      <c r="K305" s="329" t="s">
        <v>1622</v>
      </c>
      <c r="L305" s="39" t="s">
        <v>149</v>
      </c>
      <c r="M305" s="40">
        <v>1</v>
      </c>
      <c r="N305" s="41">
        <f t="shared" si="162"/>
        <v>0</v>
      </c>
      <c r="O305" s="41" t="s">
        <v>41</v>
      </c>
      <c r="AC305" s="67">
        <f t="shared" si="144"/>
        <v>0</v>
      </c>
      <c r="AD305" s="67" t="str">
        <f t="shared" si="144"/>
        <v>-</v>
      </c>
    </row>
    <row r="306" spans="1:37" s="47" customFormat="1" outlineLevel="1" x14ac:dyDescent="0.25">
      <c r="A306" s="68" t="s">
        <v>1812</v>
      </c>
      <c r="B306" s="571" t="s">
        <v>154</v>
      </c>
      <c r="C306" s="571"/>
      <c r="D306" s="571"/>
      <c r="E306" s="571"/>
      <c r="F306" s="571"/>
      <c r="G306" s="571"/>
      <c r="H306" s="69">
        <f>AVERAGE(N307:N315)</f>
        <v>0.65986394557823125</v>
      </c>
      <c r="I306" s="69">
        <f>AVERAGE(O307:O315)</f>
        <v>0.92559523809523814</v>
      </c>
      <c r="J306" s="70"/>
      <c r="K306" s="70"/>
      <c r="L306" s="71"/>
      <c r="M306" s="40"/>
      <c r="N306" s="41"/>
      <c r="O306" s="212"/>
      <c r="P306" s="49"/>
      <c r="Q306" s="49"/>
      <c r="R306" s="104">
        <f>COUNTA(C307:C315)</f>
        <v>9</v>
      </c>
      <c r="S306" s="103">
        <v>0</v>
      </c>
      <c r="T306" s="104">
        <f>COUNTIFS(AC307:AC315,"&gt;1,50")</f>
        <v>0</v>
      </c>
      <c r="U306" s="104">
        <f>COUNTIFS(AC307:AC315,"&gt;=0,995",AC307:AC315,"&lt;=1,5")</f>
        <v>5</v>
      </c>
      <c r="V306" s="104">
        <f>COUNTIFS(AC307:AC315,"&gt;=0,85",AC307:AC315,"&lt;0,995")</f>
        <v>1</v>
      </c>
      <c r="W306" s="104">
        <f>COUNTIFS(AC307:AC315,"&lt;0,85")</f>
        <v>3</v>
      </c>
      <c r="X306" s="52"/>
      <c r="Z306" s="96">
        <f>COUNTIFS(AD307:AD315,"&gt;=1,01")</f>
        <v>1</v>
      </c>
      <c r="AA306" s="96">
        <f>COUNTIFS(AD307:AD315,"&gt;=0,99",AD307:AD315,"&lt;1,01")</f>
        <v>2</v>
      </c>
      <c r="AB306" s="97">
        <f>COUNTIFS(AD307:AD315,"&lt;0,99")</f>
        <v>1</v>
      </c>
      <c r="AC306" s="67"/>
      <c r="AD306" s="67"/>
      <c r="AK306" s="47">
        <f>SUM(T306:X306)-R306</f>
        <v>0</v>
      </c>
    </row>
    <row r="307" spans="1:37" ht="33.75" outlineLevel="2" x14ac:dyDescent="0.25">
      <c r="A307" s="262" t="s">
        <v>1813</v>
      </c>
      <c r="B307" s="85" t="s">
        <v>931</v>
      </c>
      <c r="C307" s="162" t="s">
        <v>321</v>
      </c>
      <c r="D307" s="460" t="s">
        <v>339</v>
      </c>
      <c r="E307" s="284">
        <v>100</v>
      </c>
      <c r="F307" s="284">
        <v>100</v>
      </c>
      <c r="G307" s="284">
        <v>100</v>
      </c>
      <c r="H307" s="286">
        <f t="shared" ref="H307" si="163">G307/F307</f>
        <v>1</v>
      </c>
      <c r="I307" s="286">
        <f t="shared" ref="I307" si="164">G307/E307</f>
        <v>1</v>
      </c>
      <c r="J307" s="329" t="s">
        <v>41</v>
      </c>
      <c r="K307" s="329" t="s">
        <v>41</v>
      </c>
      <c r="L307" s="39" t="s">
        <v>938</v>
      </c>
      <c r="M307" s="40">
        <v>0</v>
      </c>
      <c r="N307" s="41">
        <f t="shared" si="156"/>
        <v>1</v>
      </c>
      <c r="O307" s="41" t="s">
        <v>41</v>
      </c>
      <c r="AC307" s="67">
        <f t="shared" si="144"/>
        <v>1</v>
      </c>
      <c r="AD307" s="67" t="s">
        <v>41</v>
      </c>
    </row>
    <row r="308" spans="1:37" ht="78.75" outlineLevel="2" x14ac:dyDescent="0.25">
      <c r="A308" s="262" t="s">
        <v>1814</v>
      </c>
      <c r="B308" s="85" t="s">
        <v>932</v>
      </c>
      <c r="C308" s="162" t="s">
        <v>321</v>
      </c>
      <c r="D308" s="461" t="s">
        <v>1626</v>
      </c>
      <c r="E308" s="284">
        <v>16.8</v>
      </c>
      <c r="F308" s="284">
        <v>6.3</v>
      </c>
      <c r="G308" s="284">
        <v>7.6</v>
      </c>
      <c r="H308" s="286">
        <f t="shared" ref="H308:H315" si="165">G308/F308</f>
        <v>1.2063492063492063</v>
      </c>
      <c r="I308" s="286">
        <f t="shared" ref="I308:I315" si="166">G308/E308</f>
        <v>0.45238095238095233</v>
      </c>
      <c r="J308" s="329" t="s">
        <v>1628</v>
      </c>
      <c r="K308" s="329" t="s">
        <v>1239</v>
      </c>
      <c r="L308" s="39" t="s">
        <v>937</v>
      </c>
      <c r="M308" s="40">
        <v>0</v>
      </c>
      <c r="N308" s="41">
        <f t="shared" si="156"/>
        <v>1</v>
      </c>
      <c r="O308" s="41">
        <f t="shared" ref="O308:O326" si="167">IF(I308&gt;1.25,1.25,I308)</f>
        <v>0.45238095238095233</v>
      </c>
      <c r="AC308" s="67">
        <f t="shared" si="144"/>
        <v>1.2063492063492063</v>
      </c>
      <c r="AD308" s="67">
        <f t="shared" si="144"/>
        <v>0.45238095238095233</v>
      </c>
    </row>
    <row r="309" spans="1:37" ht="33.75" outlineLevel="2" x14ac:dyDescent="0.25">
      <c r="A309" s="262" t="s">
        <v>1815</v>
      </c>
      <c r="B309" s="85" t="s">
        <v>933</v>
      </c>
      <c r="C309" s="162" t="s">
        <v>321</v>
      </c>
      <c r="D309" s="461" t="s">
        <v>1626</v>
      </c>
      <c r="E309" s="284">
        <v>97.94</v>
      </c>
      <c r="F309" s="284">
        <v>90</v>
      </c>
      <c r="G309" s="284">
        <v>97.94</v>
      </c>
      <c r="H309" s="286">
        <f t="shared" si="165"/>
        <v>1.0882222222222222</v>
      </c>
      <c r="I309" s="286">
        <f t="shared" si="166"/>
        <v>1</v>
      </c>
      <c r="J309" s="329" t="s">
        <v>41</v>
      </c>
      <c r="K309" s="329" t="s">
        <v>41</v>
      </c>
      <c r="L309" s="39" t="s">
        <v>937</v>
      </c>
      <c r="M309" s="40">
        <v>1</v>
      </c>
      <c r="N309" s="41">
        <f t="shared" si="156"/>
        <v>1</v>
      </c>
      <c r="O309" s="41">
        <f t="shared" si="167"/>
        <v>1</v>
      </c>
      <c r="AC309" s="67">
        <f t="shared" si="144"/>
        <v>1.0882222222222222</v>
      </c>
      <c r="AD309" s="67">
        <f t="shared" si="144"/>
        <v>1</v>
      </c>
    </row>
    <row r="310" spans="1:37" ht="67.5" outlineLevel="2" x14ac:dyDescent="0.25">
      <c r="A310" s="262" t="s">
        <v>1816</v>
      </c>
      <c r="B310" s="85" t="s">
        <v>934</v>
      </c>
      <c r="C310" s="162" t="s">
        <v>321</v>
      </c>
      <c r="D310" s="462" t="s">
        <v>918</v>
      </c>
      <c r="E310" s="284">
        <v>100</v>
      </c>
      <c r="F310" s="284">
        <v>100</v>
      </c>
      <c r="G310" s="284">
        <v>100</v>
      </c>
      <c r="H310" s="286">
        <f t="shared" si="165"/>
        <v>1</v>
      </c>
      <c r="I310" s="286">
        <f t="shared" si="166"/>
        <v>1</v>
      </c>
      <c r="J310" s="329" t="s">
        <v>41</v>
      </c>
      <c r="K310" s="329" t="s">
        <v>41</v>
      </c>
      <c r="L310" s="39" t="s">
        <v>149</v>
      </c>
      <c r="M310" s="40">
        <v>1</v>
      </c>
      <c r="N310" s="41">
        <f t="shared" si="156"/>
        <v>1</v>
      </c>
      <c r="O310" s="41">
        <f t="shared" si="167"/>
        <v>1</v>
      </c>
      <c r="AC310" s="67">
        <f t="shared" si="144"/>
        <v>1</v>
      </c>
      <c r="AD310" s="67">
        <f t="shared" si="144"/>
        <v>1</v>
      </c>
    </row>
    <row r="311" spans="1:37" ht="45" outlineLevel="2" x14ac:dyDescent="0.25">
      <c r="A311" s="262" t="s">
        <v>1817</v>
      </c>
      <c r="B311" s="85" t="s">
        <v>935</v>
      </c>
      <c r="C311" s="162" t="s">
        <v>321</v>
      </c>
      <c r="D311" s="462" t="s">
        <v>1627</v>
      </c>
      <c r="E311" s="284">
        <v>4.5999999999999996</v>
      </c>
      <c r="F311" s="284">
        <v>14.7</v>
      </c>
      <c r="G311" s="284">
        <v>13.8</v>
      </c>
      <c r="H311" s="286">
        <f t="shared" si="165"/>
        <v>0.93877551020408168</v>
      </c>
      <c r="I311" s="286">
        <f t="shared" si="166"/>
        <v>3.0000000000000004</v>
      </c>
      <c r="J311" s="329" t="s">
        <v>1238</v>
      </c>
      <c r="K311" s="329" t="s">
        <v>1239</v>
      </c>
      <c r="L311" s="39" t="s">
        <v>149</v>
      </c>
      <c r="M311" s="40">
        <v>1</v>
      </c>
      <c r="N311" s="41">
        <f t="shared" si="156"/>
        <v>0.93877551020408168</v>
      </c>
      <c r="O311" s="41">
        <f t="shared" si="167"/>
        <v>1.25</v>
      </c>
      <c r="AC311" s="67">
        <f t="shared" si="144"/>
        <v>0.93877551020408168</v>
      </c>
      <c r="AD311" s="67">
        <f t="shared" si="144"/>
        <v>3.0000000000000004</v>
      </c>
    </row>
    <row r="312" spans="1:37" ht="67.5" outlineLevel="2" x14ac:dyDescent="0.25">
      <c r="A312" s="262" t="s">
        <v>1818</v>
      </c>
      <c r="B312" s="85" t="s">
        <v>1623</v>
      </c>
      <c r="C312" s="162" t="s">
        <v>892</v>
      </c>
      <c r="D312" s="463" t="s">
        <v>339</v>
      </c>
      <c r="E312" s="284" t="s">
        <v>41</v>
      </c>
      <c r="F312" s="284">
        <v>1</v>
      </c>
      <c r="G312" s="284">
        <v>0</v>
      </c>
      <c r="H312" s="286">
        <f t="shared" si="165"/>
        <v>0</v>
      </c>
      <c r="I312" s="286" t="s">
        <v>41</v>
      </c>
      <c r="J312" s="329" t="s">
        <v>1629</v>
      </c>
      <c r="K312" s="329" t="s">
        <v>1630</v>
      </c>
      <c r="L312" s="39" t="s">
        <v>1631</v>
      </c>
      <c r="M312" s="40">
        <v>1</v>
      </c>
      <c r="N312" s="41">
        <f t="shared" si="156"/>
        <v>0</v>
      </c>
      <c r="O312" s="41" t="s">
        <v>41</v>
      </c>
      <c r="AC312" s="67">
        <f t="shared" si="144"/>
        <v>0</v>
      </c>
      <c r="AD312" s="67" t="str">
        <f t="shared" si="144"/>
        <v>-</v>
      </c>
    </row>
    <row r="313" spans="1:37" ht="67.5" outlineLevel="2" x14ac:dyDescent="0.25">
      <c r="A313" s="262" t="s">
        <v>1819</v>
      </c>
      <c r="B313" s="85" t="s">
        <v>1624</v>
      </c>
      <c r="C313" s="162" t="s">
        <v>1617</v>
      </c>
      <c r="D313" s="463" t="s">
        <v>339</v>
      </c>
      <c r="E313" s="284" t="s">
        <v>41</v>
      </c>
      <c r="F313" s="284">
        <v>35.83</v>
      </c>
      <c r="G313" s="284">
        <v>0</v>
      </c>
      <c r="H313" s="286">
        <f t="shared" si="165"/>
        <v>0</v>
      </c>
      <c r="I313" s="286" t="s">
        <v>41</v>
      </c>
      <c r="J313" s="329" t="s">
        <v>1629</v>
      </c>
      <c r="K313" s="329" t="s">
        <v>1630</v>
      </c>
      <c r="L313" s="39" t="s">
        <v>1631</v>
      </c>
      <c r="M313" s="40">
        <v>0</v>
      </c>
      <c r="N313" s="41">
        <f t="shared" ref="N313:N314" si="168">IF(H313&gt;1,1,H313)</f>
        <v>0</v>
      </c>
      <c r="O313" s="41" t="s">
        <v>41</v>
      </c>
      <c r="AC313" s="67">
        <f t="shared" si="144"/>
        <v>0</v>
      </c>
      <c r="AD313" s="67"/>
    </row>
    <row r="314" spans="1:37" ht="67.5" outlineLevel="2" x14ac:dyDescent="0.25">
      <c r="A314" s="262" t="s">
        <v>1820</v>
      </c>
      <c r="B314" s="85" t="s">
        <v>1625</v>
      </c>
      <c r="C314" s="162" t="s">
        <v>1255</v>
      </c>
      <c r="D314" s="463" t="s">
        <v>339</v>
      </c>
      <c r="E314" s="284" t="s">
        <v>41</v>
      </c>
      <c r="F314" s="284">
        <v>351</v>
      </c>
      <c r="G314" s="284">
        <v>0</v>
      </c>
      <c r="H314" s="286">
        <f t="shared" si="165"/>
        <v>0</v>
      </c>
      <c r="I314" s="286" t="s">
        <v>41</v>
      </c>
      <c r="J314" s="329" t="s">
        <v>1629</v>
      </c>
      <c r="K314" s="329" t="s">
        <v>1630</v>
      </c>
      <c r="L314" s="39" t="s">
        <v>149</v>
      </c>
      <c r="M314" s="40">
        <v>0</v>
      </c>
      <c r="N314" s="41">
        <f t="shared" si="168"/>
        <v>0</v>
      </c>
      <c r="O314" s="41" t="s">
        <v>41</v>
      </c>
      <c r="AC314" s="67">
        <f t="shared" si="144"/>
        <v>0</v>
      </c>
      <c r="AD314" s="67"/>
    </row>
    <row r="315" spans="1:37" ht="56.25" outlineLevel="2" x14ac:dyDescent="0.25">
      <c r="A315" s="262" t="s">
        <v>1821</v>
      </c>
      <c r="B315" s="85" t="s">
        <v>936</v>
      </c>
      <c r="C315" s="162" t="s">
        <v>343</v>
      </c>
      <c r="D315" s="460" t="s">
        <v>339</v>
      </c>
      <c r="E315" s="284">
        <v>200</v>
      </c>
      <c r="F315" s="284">
        <v>200</v>
      </c>
      <c r="G315" s="284">
        <v>238</v>
      </c>
      <c r="H315" s="286">
        <f t="shared" si="165"/>
        <v>1.19</v>
      </c>
      <c r="I315" s="286">
        <f t="shared" si="166"/>
        <v>1.19</v>
      </c>
      <c r="J315" s="329" t="s">
        <v>41</v>
      </c>
      <c r="K315" s="329" t="s">
        <v>41</v>
      </c>
      <c r="L315" s="39" t="s">
        <v>937</v>
      </c>
      <c r="M315" s="40">
        <v>0</v>
      </c>
      <c r="N315" s="41">
        <f t="shared" si="156"/>
        <v>1</v>
      </c>
      <c r="O315" s="41" t="s">
        <v>41</v>
      </c>
      <c r="AC315" s="67">
        <f t="shared" si="144"/>
        <v>1.19</v>
      </c>
      <c r="AD315" s="67" t="s">
        <v>41</v>
      </c>
    </row>
    <row r="316" spans="1:37" s="47" customFormat="1" ht="29.25" customHeight="1" outlineLevel="1" x14ac:dyDescent="0.25">
      <c r="A316" s="68" t="s">
        <v>1822</v>
      </c>
      <c r="B316" s="571" t="s">
        <v>155</v>
      </c>
      <c r="C316" s="571"/>
      <c r="D316" s="571"/>
      <c r="E316" s="571"/>
      <c r="F316" s="571"/>
      <c r="G316" s="571"/>
      <c r="H316" s="69">
        <f>AVERAGE(N317:N319)</f>
        <v>1</v>
      </c>
      <c r="I316" s="69">
        <f>AVERAGE(O317:O319)</f>
        <v>0.99440693338708053</v>
      </c>
      <c r="J316" s="70"/>
      <c r="K316" s="70"/>
      <c r="L316" s="169"/>
      <c r="M316" s="40"/>
      <c r="N316" s="41"/>
      <c r="O316" s="212"/>
      <c r="P316" s="49"/>
      <c r="Q316" s="49"/>
      <c r="R316" s="104">
        <f>COUNTA(C317:C319)</f>
        <v>3</v>
      </c>
      <c r="S316" s="103">
        <v>0</v>
      </c>
      <c r="T316" s="104">
        <f>COUNTIFS(AC317:AC319,"&gt;1,50")</f>
        <v>0</v>
      </c>
      <c r="U316" s="104">
        <f>COUNTIFS(AC317:AC319,"&gt;=0,995",AC317:AC319,"&lt;=1,5")</f>
        <v>3</v>
      </c>
      <c r="V316" s="104">
        <f>COUNTIFS(AC317:AC319,"&gt;=0,85",AC317:AC319,"&lt;0,995")</f>
        <v>0</v>
      </c>
      <c r="W316" s="104">
        <f>COUNTIFS(AC317:AC319,"&lt;0,85")</f>
        <v>0</v>
      </c>
      <c r="X316" s="52"/>
      <c r="Z316" s="96">
        <f>COUNTIFS(AD317:AD319,"&gt;=1,01")</f>
        <v>0</v>
      </c>
      <c r="AA316" s="96">
        <f>COUNTIFS(AD317:AD319,"&gt;=0,99",AD317:AD319,"&lt;1,01")</f>
        <v>1</v>
      </c>
      <c r="AB316" s="97">
        <f>COUNTIFS(AD317:AD319,"&lt;0,99")</f>
        <v>1</v>
      </c>
      <c r="AC316" s="67"/>
      <c r="AD316" s="67"/>
      <c r="AK316" s="47">
        <f>SUM(T316:X316)-R316</f>
        <v>0</v>
      </c>
    </row>
    <row r="317" spans="1:37" ht="78.75" outlineLevel="2" x14ac:dyDescent="0.25">
      <c r="A317" s="262" t="s">
        <v>1823</v>
      </c>
      <c r="B317" s="85" t="s">
        <v>520</v>
      </c>
      <c r="C317" s="162" t="s">
        <v>321</v>
      </c>
      <c r="D317" s="272" t="s">
        <v>319</v>
      </c>
      <c r="E317" s="284">
        <v>89</v>
      </c>
      <c r="F317" s="284">
        <v>62.7</v>
      </c>
      <c r="G317" s="284">
        <v>89</v>
      </c>
      <c r="H317" s="286">
        <f>G317/F317</f>
        <v>1.4194577352472089</v>
      </c>
      <c r="I317" s="286">
        <f>G317/E317</f>
        <v>1</v>
      </c>
      <c r="J317" s="137" t="s">
        <v>41</v>
      </c>
      <c r="K317" s="167" t="s">
        <v>41</v>
      </c>
      <c r="L317" s="39" t="s">
        <v>149</v>
      </c>
      <c r="M317" s="40">
        <v>1</v>
      </c>
      <c r="N317" s="41">
        <f t="shared" si="156"/>
        <v>1</v>
      </c>
      <c r="O317" s="41">
        <f t="shared" si="167"/>
        <v>1</v>
      </c>
      <c r="AC317" s="67">
        <f t="shared" si="144"/>
        <v>1.4194577352472089</v>
      </c>
      <c r="AD317" s="67">
        <f t="shared" si="144"/>
        <v>1</v>
      </c>
    </row>
    <row r="318" spans="1:37" ht="78.75" outlineLevel="2" x14ac:dyDescent="0.25">
      <c r="A318" s="262" t="s">
        <v>1824</v>
      </c>
      <c r="B318" s="85" t="s">
        <v>521</v>
      </c>
      <c r="C318" s="162" t="s">
        <v>321</v>
      </c>
      <c r="D318" s="272" t="s">
        <v>319</v>
      </c>
      <c r="E318" s="284">
        <v>99.23</v>
      </c>
      <c r="F318" s="284">
        <v>98</v>
      </c>
      <c r="G318" s="284">
        <v>98.12</v>
      </c>
      <c r="H318" s="286">
        <f>G318/F318</f>
        <v>1.0012244897959184</v>
      </c>
      <c r="I318" s="286">
        <f>G318/E318</f>
        <v>0.98881386677416105</v>
      </c>
      <c r="J318" s="450" t="s">
        <v>41</v>
      </c>
      <c r="K318" s="167" t="s">
        <v>41</v>
      </c>
      <c r="L318" s="39" t="s">
        <v>149</v>
      </c>
      <c r="M318" s="40">
        <v>1</v>
      </c>
      <c r="N318" s="41">
        <f t="shared" ref="N318" si="169">IF(H318&gt;1,1,H318)</f>
        <v>1</v>
      </c>
      <c r="O318" s="41">
        <f t="shared" ref="O318" si="170">IF(I318&gt;1.25,1.25,I318)</f>
        <v>0.98881386677416105</v>
      </c>
      <c r="AC318" s="67">
        <f t="shared" si="144"/>
        <v>1.0012244897959184</v>
      </c>
      <c r="AD318" s="67">
        <f t="shared" si="144"/>
        <v>0.98881386677416105</v>
      </c>
    </row>
    <row r="319" spans="1:37" ht="67.5" outlineLevel="2" x14ac:dyDescent="0.25">
      <c r="A319" s="262" t="s">
        <v>1825</v>
      </c>
      <c r="B319" s="85" t="s">
        <v>1632</v>
      </c>
      <c r="C319" s="162" t="s">
        <v>321</v>
      </c>
      <c r="D319" s="272" t="s">
        <v>319</v>
      </c>
      <c r="E319" s="284" t="s">
        <v>41</v>
      </c>
      <c r="F319" s="284">
        <v>98</v>
      </c>
      <c r="G319" s="284">
        <v>98.12</v>
      </c>
      <c r="H319" s="286">
        <f>G319/F319</f>
        <v>1.0012244897959184</v>
      </c>
      <c r="I319" s="286" t="s">
        <v>41</v>
      </c>
      <c r="J319" s="137" t="s">
        <v>41</v>
      </c>
      <c r="K319" s="167" t="s">
        <v>41</v>
      </c>
      <c r="L319" s="39" t="s">
        <v>149</v>
      </c>
      <c r="M319" s="40">
        <v>1</v>
      </c>
      <c r="N319" s="41">
        <f t="shared" si="156"/>
        <v>1</v>
      </c>
      <c r="O319" s="41" t="s">
        <v>41</v>
      </c>
      <c r="AC319" s="67">
        <f t="shared" si="144"/>
        <v>1.0012244897959184</v>
      </c>
      <c r="AD319" s="67" t="str">
        <f t="shared" si="144"/>
        <v>-</v>
      </c>
    </row>
    <row r="320" spans="1:37" s="47" customFormat="1" ht="23.25" customHeight="1" x14ac:dyDescent="0.25">
      <c r="A320" s="497" t="s">
        <v>270</v>
      </c>
      <c r="B320" s="578" t="s">
        <v>939</v>
      </c>
      <c r="C320" s="578"/>
      <c r="D320" s="578"/>
      <c r="E320" s="578"/>
      <c r="F320" s="578"/>
      <c r="G320" s="578"/>
      <c r="H320" s="498">
        <f>AVERAGE(N321:N323,N325:N329,N331:N339,N341:N348,N350:N351)</f>
        <v>0.85060932970363479</v>
      </c>
      <c r="I320" s="498">
        <f>AVERAGE(O321:O323,O325:O351)</f>
        <v>0.87052523939912618</v>
      </c>
      <c r="J320" s="495"/>
      <c r="K320" s="495"/>
      <c r="L320" s="499"/>
      <c r="M320" s="40"/>
      <c r="N320" s="41"/>
      <c r="O320" s="41"/>
      <c r="P320" s="49"/>
      <c r="Q320" s="49"/>
      <c r="R320" s="110">
        <f>COUNTA(C321:C351)</f>
        <v>27</v>
      </c>
      <c r="S320" s="102">
        <f>R320-T320-U320-V320-W320</f>
        <v>2</v>
      </c>
      <c r="T320" s="110">
        <f>COUNTIFS(AC321:AC351,"&gt;1,50")</f>
        <v>7</v>
      </c>
      <c r="U320" s="110">
        <f>COUNTIFS(AC321:AC351,"&gt;=0,995",AC321:AC351,"&lt;=1,5")</f>
        <v>10</v>
      </c>
      <c r="V320" s="110">
        <f>COUNTIFS(AC321:AC351,"&gt;=0,85",AC321:AC351,"&lt;0,995")</f>
        <v>2</v>
      </c>
      <c r="W320" s="110">
        <f>COUNTIFS(AC321:AC351,"&lt;0,85")</f>
        <v>6</v>
      </c>
      <c r="X320" s="49"/>
      <c r="Z320" s="100">
        <f>COUNTIFS(AD321:AD351,"&gt;=1,01")</f>
        <v>6</v>
      </c>
      <c r="AA320" s="100">
        <f>COUNTIFS(AD321:AD351,"&gt;=0,99",AD321:AD351,"&lt;1,01")</f>
        <v>2</v>
      </c>
      <c r="AB320" s="101">
        <f>COUNTIFS(AD321:AD351,"&lt;0,99")</f>
        <v>6</v>
      </c>
      <c r="AC320" s="67"/>
      <c r="AD320" s="67"/>
      <c r="AK320" s="47">
        <f>SUM(T320:X320)-R320</f>
        <v>-2</v>
      </c>
    </row>
    <row r="321" spans="1:37" ht="93" customHeight="1" outlineLevel="2" x14ac:dyDescent="0.25">
      <c r="A321" s="262" t="s">
        <v>493</v>
      </c>
      <c r="B321" s="85" t="s">
        <v>1342</v>
      </c>
      <c r="C321" s="141" t="s">
        <v>321</v>
      </c>
      <c r="D321" s="272" t="s">
        <v>319</v>
      </c>
      <c r="E321" s="326">
        <v>92.7</v>
      </c>
      <c r="F321" s="326">
        <v>100.7</v>
      </c>
      <c r="G321" s="326">
        <v>105.7</v>
      </c>
      <c r="H321" s="336">
        <f>G321/F321</f>
        <v>1.0496524329692154</v>
      </c>
      <c r="I321" s="336">
        <f>G321/E321</f>
        <v>1.1402373247033442</v>
      </c>
      <c r="J321" s="335" t="s">
        <v>1344</v>
      </c>
      <c r="K321" s="335" t="s">
        <v>41</v>
      </c>
      <c r="L321" s="39" t="s">
        <v>149</v>
      </c>
      <c r="M321" s="40">
        <v>1</v>
      </c>
      <c r="N321" s="41" t="s">
        <v>41</v>
      </c>
      <c r="O321" s="41" t="s">
        <v>41</v>
      </c>
      <c r="AC321" s="67" t="s">
        <v>41</v>
      </c>
      <c r="AD321" s="67" t="s">
        <v>41</v>
      </c>
    </row>
    <row r="322" spans="1:37" ht="45" outlineLevel="2" x14ac:dyDescent="0.25">
      <c r="A322" s="262" t="s">
        <v>494</v>
      </c>
      <c r="B322" s="85" t="s">
        <v>940</v>
      </c>
      <c r="C322" s="141" t="s">
        <v>1343</v>
      </c>
      <c r="D322" s="272" t="s">
        <v>319</v>
      </c>
      <c r="E322" s="326">
        <v>92.7</v>
      </c>
      <c r="F322" s="326">
        <v>109.5</v>
      </c>
      <c r="G322" s="326">
        <v>101.9</v>
      </c>
      <c r="H322" s="336">
        <f>G322/F322</f>
        <v>0.9305936073059361</v>
      </c>
      <c r="I322" s="336">
        <f>G322/E322</f>
        <v>1.0992448759439051</v>
      </c>
      <c r="J322" s="335" t="s">
        <v>1240</v>
      </c>
      <c r="K322" s="335" t="s">
        <v>2072</v>
      </c>
      <c r="L322" s="39" t="s">
        <v>149</v>
      </c>
      <c r="M322" s="40">
        <v>1</v>
      </c>
      <c r="N322" s="41">
        <f t="shared" si="156"/>
        <v>0.9305936073059361</v>
      </c>
      <c r="O322" s="41">
        <f t="shared" si="167"/>
        <v>1.0992448759439051</v>
      </c>
      <c r="AC322" s="67">
        <f t="shared" si="144"/>
        <v>0.9305936073059361</v>
      </c>
      <c r="AD322" s="67">
        <f t="shared" si="144"/>
        <v>1.0992448759439051</v>
      </c>
    </row>
    <row r="323" spans="1:37" ht="45" outlineLevel="2" x14ac:dyDescent="0.25">
      <c r="A323" s="262" t="s">
        <v>495</v>
      </c>
      <c r="B323" s="85" t="s">
        <v>525</v>
      </c>
      <c r="C323" s="141" t="s">
        <v>343</v>
      </c>
      <c r="D323" s="280" t="s">
        <v>302</v>
      </c>
      <c r="E323" s="326">
        <v>0</v>
      </c>
      <c r="F323" s="326">
        <v>0</v>
      </c>
      <c r="G323" s="326">
        <v>0</v>
      </c>
      <c r="H323" s="336">
        <v>1</v>
      </c>
      <c r="I323" s="336">
        <v>1</v>
      </c>
      <c r="J323" s="335" t="s">
        <v>41</v>
      </c>
      <c r="K323" s="335" t="s">
        <v>41</v>
      </c>
      <c r="L323" s="80" t="s">
        <v>526</v>
      </c>
      <c r="M323" s="40">
        <v>-1</v>
      </c>
      <c r="N323" s="41">
        <f t="shared" si="156"/>
        <v>1</v>
      </c>
      <c r="O323" s="41">
        <f t="shared" si="167"/>
        <v>1</v>
      </c>
      <c r="AC323" s="67">
        <f t="shared" si="144"/>
        <v>1</v>
      </c>
      <c r="AD323" s="67">
        <f t="shared" si="144"/>
        <v>1</v>
      </c>
    </row>
    <row r="324" spans="1:37" s="47" customFormat="1" outlineLevel="1" x14ac:dyDescent="0.25">
      <c r="A324" s="68" t="s">
        <v>150</v>
      </c>
      <c r="B324" s="571" t="s">
        <v>528</v>
      </c>
      <c r="C324" s="571"/>
      <c r="D324" s="571"/>
      <c r="E324" s="571"/>
      <c r="F324" s="571"/>
      <c r="G324" s="571"/>
      <c r="H324" s="69">
        <f>AVERAGE(N325:N329)</f>
        <v>1</v>
      </c>
      <c r="I324" s="69">
        <f>AVERAGE(O325:O329)</f>
        <v>1.0963855421686748</v>
      </c>
      <c r="J324" s="70"/>
      <c r="K324" s="70"/>
      <c r="L324" s="71"/>
      <c r="M324" s="64"/>
      <c r="N324" s="41"/>
      <c r="O324" s="41"/>
      <c r="P324" s="49"/>
      <c r="Q324" s="49"/>
      <c r="R324" s="104">
        <f>COUNTA(C325:C329)</f>
        <v>5</v>
      </c>
      <c r="S324" s="103">
        <v>1</v>
      </c>
      <c r="T324" s="104">
        <f>COUNTIFS(AC325:AC329,"&gt;1,50")</f>
        <v>1</v>
      </c>
      <c r="U324" s="104">
        <f>COUNTIFS(AC325:AC329,"&gt;=0,995",AC325:AC329,"&lt;=1,5")</f>
        <v>3</v>
      </c>
      <c r="V324" s="104">
        <f>COUNTIFS(AC325:AC329,"&gt;=0,85",AC325:AC329,"&lt;0,995")</f>
        <v>0</v>
      </c>
      <c r="W324" s="104">
        <f>COUNTIFS(AC325:AC329,"&lt;0,85")</f>
        <v>0</v>
      </c>
      <c r="X324" s="52">
        <v>0</v>
      </c>
      <c r="Z324" s="96">
        <f>COUNTIFS(AD325:AD329,"&gt;=1,01")</f>
        <v>2</v>
      </c>
      <c r="AA324" s="96">
        <f>COUNTIFS(AD325:AD329,"&gt;=0,99",AD325:AD329,"&lt;1,01")</f>
        <v>0</v>
      </c>
      <c r="AB324" s="97">
        <f>COUNTIFS(AD325:AD329,"&lt;0,99")</f>
        <v>1</v>
      </c>
      <c r="AC324" s="67"/>
      <c r="AD324" s="67"/>
      <c r="AK324" s="47">
        <f>SUM(T324:X324)-R324</f>
        <v>-1</v>
      </c>
    </row>
    <row r="325" spans="1:37" ht="88.5" customHeight="1" outlineLevel="2" x14ac:dyDescent="0.25">
      <c r="A325" s="262" t="s">
        <v>499</v>
      </c>
      <c r="B325" s="337" t="s">
        <v>1345</v>
      </c>
      <c r="C325" s="141" t="s">
        <v>532</v>
      </c>
      <c r="D325" s="272" t="s">
        <v>319</v>
      </c>
      <c r="E325" s="326" t="s">
        <v>1350</v>
      </c>
      <c r="F325" s="326">
        <v>9.6</v>
      </c>
      <c r="G325" s="326">
        <v>20.2</v>
      </c>
      <c r="H325" s="336">
        <f>G325/F325</f>
        <v>2.1041666666666665</v>
      </c>
      <c r="I325" s="336" t="s">
        <v>41</v>
      </c>
      <c r="J325" s="335" t="s">
        <v>1352</v>
      </c>
      <c r="K325" s="335" t="s">
        <v>2073</v>
      </c>
      <c r="L325" s="39" t="s">
        <v>149</v>
      </c>
      <c r="M325" s="40">
        <v>1</v>
      </c>
      <c r="N325" s="41">
        <f t="shared" si="156"/>
        <v>1</v>
      </c>
      <c r="O325" s="41" t="s">
        <v>41</v>
      </c>
      <c r="AC325" s="67">
        <f t="shared" si="144"/>
        <v>2.1041666666666665</v>
      </c>
      <c r="AD325" s="67" t="str">
        <f t="shared" si="144"/>
        <v>-</v>
      </c>
    </row>
    <row r="326" spans="1:37" ht="49.5" customHeight="1" outlineLevel="2" x14ac:dyDescent="0.25">
      <c r="A326" s="262" t="s">
        <v>501</v>
      </c>
      <c r="B326" s="337" t="s">
        <v>530</v>
      </c>
      <c r="C326" s="141" t="s">
        <v>321</v>
      </c>
      <c r="D326" s="280" t="s">
        <v>302</v>
      </c>
      <c r="E326" s="326">
        <v>54.6</v>
      </c>
      <c r="F326" s="326">
        <v>50</v>
      </c>
      <c r="G326" s="326">
        <v>49.8</v>
      </c>
      <c r="H326" s="336">
        <f>F326/G326</f>
        <v>1.0040160642570282</v>
      </c>
      <c r="I326" s="336">
        <f>E326/G326</f>
        <v>1.0963855421686748</v>
      </c>
      <c r="J326" s="335" t="s">
        <v>41</v>
      </c>
      <c r="K326" s="335" t="s">
        <v>41</v>
      </c>
      <c r="L326" s="39" t="s">
        <v>149</v>
      </c>
      <c r="M326" s="40">
        <v>-1</v>
      </c>
      <c r="N326" s="41">
        <f t="shared" si="156"/>
        <v>1</v>
      </c>
      <c r="O326" s="41">
        <f t="shared" si="167"/>
        <v>1.0963855421686748</v>
      </c>
      <c r="AC326" s="67">
        <f t="shared" si="144"/>
        <v>1.0040160642570282</v>
      </c>
      <c r="AD326" s="67">
        <f t="shared" si="144"/>
        <v>1.0963855421686748</v>
      </c>
    </row>
    <row r="327" spans="1:37" ht="78" customHeight="1" outlineLevel="2" x14ac:dyDescent="0.25">
      <c r="A327" s="262" t="s">
        <v>1614</v>
      </c>
      <c r="B327" s="337" t="s">
        <v>533</v>
      </c>
      <c r="C327" s="141" t="s">
        <v>534</v>
      </c>
      <c r="D327" s="289" t="s">
        <v>339</v>
      </c>
      <c r="E327" s="326">
        <v>1.097</v>
      </c>
      <c r="F327" s="326">
        <v>1.1000000000000001</v>
      </c>
      <c r="G327" s="326">
        <v>1.3</v>
      </c>
      <c r="H327" s="336">
        <f>G327/F327</f>
        <v>1.1818181818181817</v>
      </c>
      <c r="I327" s="338">
        <f>G327/E327</f>
        <v>1.1850501367365542</v>
      </c>
      <c r="J327" s="335" t="s">
        <v>1353</v>
      </c>
      <c r="K327" s="335" t="s">
        <v>41</v>
      </c>
      <c r="L327" s="39" t="s">
        <v>149</v>
      </c>
      <c r="M327" s="40">
        <v>0</v>
      </c>
      <c r="N327" s="41">
        <f t="shared" si="156"/>
        <v>1</v>
      </c>
      <c r="O327" s="41" t="s">
        <v>41</v>
      </c>
      <c r="AC327" s="67">
        <f t="shared" si="144"/>
        <v>1.1818181818181817</v>
      </c>
      <c r="AD327" s="67">
        <f t="shared" si="144"/>
        <v>1.1850501367365542</v>
      </c>
    </row>
    <row r="328" spans="1:37" ht="109.5" customHeight="1" outlineLevel="2" x14ac:dyDescent="0.25">
      <c r="A328" s="262" t="s">
        <v>1826</v>
      </c>
      <c r="B328" s="337" t="s">
        <v>1346</v>
      </c>
      <c r="C328" s="141" t="s">
        <v>365</v>
      </c>
      <c r="D328" s="289" t="s">
        <v>339</v>
      </c>
      <c r="E328" s="326" t="s">
        <v>1351</v>
      </c>
      <c r="F328" s="326">
        <v>1</v>
      </c>
      <c r="G328" s="326">
        <v>1</v>
      </c>
      <c r="H328" s="336">
        <f>G328/F328</f>
        <v>1</v>
      </c>
      <c r="I328" s="336" t="s">
        <v>41</v>
      </c>
      <c r="J328" s="335" t="s">
        <v>41</v>
      </c>
      <c r="K328" s="335" t="s">
        <v>41</v>
      </c>
      <c r="L328" s="39" t="s">
        <v>1354</v>
      </c>
      <c r="M328" s="40">
        <v>0</v>
      </c>
      <c r="N328" s="41">
        <f t="shared" si="156"/>
        <v>1</v>
      </c>
      <c r="O328" s="41" t="s">
        <v>41</v>
      </c>
      <c r="AC328" s="67">
        <f t="shared" si="144"/>
        <v>1</v>
      </c>
      <c r="AD328" s="67" t="str">
        <f t="shared" si="144"/>
        <v>-</v>
      </c>
    </row>
    <row r="329" spans="1:37" ht="45" outlineLevel="2" x14ac:dyDescent="0.25">
      <c r="A329" s="262" t="s">
        <v>1827</v>
      </c>
      <c r="B329" s="337" t="s">
        <v>1347</v>
      </c>
      <c r="C329" s="141" t="s">
        <v>536</v>
      </c>
      <c r="D329" s="289" t="s">
        <v>339</v>
      </c>
      <c r="E329" s="326">
        <v>53.334000000000003</v>
      </c>
      <c r="F329" s="326">
        <v>50.8</v>
      </c>
      <c r="G329" s="326">
        <v>51.3</v>
      </c>
      <c r="H329" s="336">
        <f>G329/F329</f>
        <v>1.0098425196850394</v>
      </c>
      <c r="I329" s="336">
        <f>G329/E329</f>
        <v>0.96186297671279097</v>
      </c>
      <c r="J329" s="335" t="s">
        <v>2074</v>
      </c>
      <c r="K329" s="335" t="s">
        <v>41</v>
      </c>
      <c r="L329" s="39" t="s">
        <v>149</v>
      </c>
      <c r="M329" s="40">
        <v>1</v>
      </c>
      <c r="N329" s="41" t="s">
        <v>41</v>
      </c>
      <c r="O329" s="41" t="s">
        <v>41</v>
      </c>
      <c r="AC329" s="67" t="s">
        <v>41</v>
      </c>
      <c r="AD329" s="67">
        <f t="shared" si="144"/>
        <v>0.96186297671279097</v>
      </c>
    </row>
    <row r="330" spans="1:37" s="47" customFormat="1" ht="22.5" customHeight="1" outlineLevel="1" x14ac:dyDescent="0.25">
      <c r="A330" s="68" t="s">
        <v>151</v>
      </c>
      <c r="B330" s="571" t="s">
        <v>1074</v>
      </c>
      <c r="C330" s="571"/>
      <c r="D330" s="571"/>
      <c r="E330" s="571"/>
      <c r="F330" s="571"/>
      <c r="G330" s="571"/>
      <c r="H330" s="69">
        <f>AVERAGE(N331:N339)</f>
        <v>0.95057865519136364</v>
      </c>
      <c r="I330" s="69">
        <f>AVERAGE(O331:O339)</f>
        <v>1.0026943565158837</v>
      </c>
      <c r="J330" s="70"/>
      <c r="K330" s="70"/>
      <c r="L330" s="71"/>
      <c r="M330" s="64"/>
      <c r="N330" s="212"/>
      <c r="O330" s="212"/>
      <c r="P330" s="49"/>
      <c r="Q330" s="49"/>
      <c r="R330" s="104">
        <f>COUNTA(C331:C339)</f>
        <v>9</v>
      </c>
      <c r="S330" s="103">
        <v>0</v>
      </c>
      <c r="T330" s="104">
        <f>COUNTIFS(AC331:AC339,"&gt;1,50")</f>
        <v>4</v>
      </c>
      <c r="U330" s="104">
        <f>COUNTIFS(AC331:AC339,"&gt;=0,995",AC331:AC339,"&lt;=1,5")</f>
        <v>3</v>
      </c>
      <c r="V330" s="104">
        <f>COUNTIFS(AC331:AC339,"&gt;=0,85",AC331:AC339,"&lt;0,995")</f>
        <v>0</v>
      </c>
      <c r="W330" s="104">
        <f>COUNTIFS(AC331:AC339,"&lt;0,85")</f>
        <v>2</v>
      </c>
      <c r="X330" s="52"/>
      <c r="Z330" s="96">
        <f>COUNTIFS(AD331:AD339,"&gt;=1,01")</f>
        <v>1</v>
      </c>
      <c r="AA330" s="96">
        <f>COUNTIFS(AD331:AD339,"&gt;=0,99",AD331:AD339,"&lt;1,01")</f>
        <v>0</v>
      </c>
      <c r="AB330" s="97">
        <f>COUNTIFS(AD331:AD339,"&lt;0,99")</f>
        <v>2</v>
      </c>
      <c r="AC330" s="67"/>
      <c r="AD330" s="67"/>
      <c r="AK330" s="47">
        <f>SUM(T330:X330)-R330</f>
        <v>0</v>
      </c>
    </row>
    <row r="331" spans="1:37" ht="33.75" outlineLevel="2" x14ac:dyDescent="0.25">
      <c r="A331" s="262" t="s">
        <v>504</v>
      </c>
      <c r="B331" s="168" t="s">
        <v>527</v>
      </c>
      <c r="C331" s="137" t="s">
        <v>532</v>
      </c>
      <c r="D331" s="272" t="s">
        <v>319</v>
      </c>
      <c r="E331" s="167">
        <v>85.19</v>
      </c>
      <c r="F331" s="167">
        <v>50.7</v>
      </c>
      <c r="G331" s="167">
        <v>83.5</v>
      </c>
      <c r="H331" s="336">
        <f t="shared" ref="H331:H339" si="171">G331/F331*100%</f>
        <v>1.6469428007889546</v>
      </c>
      <c r="I331" s="336">
        <f t="shared" ref="I331:I339" si="172">G331/E331*100%</f>
        <v>0.9801619908439958</v>
      </c>
      <c r="J331" s="335" t="s">
        <v>1355</v>
      </c>
      <c r="K331" s="335" t="s">
        <v>41</v>
      </c>
      <c r="L331" s="39" t="s">
        <v>149</v>
      </c>
      <c r="M331" s="40">
        <v>1</v>
      </c>
      <c r="N331" s="41">
        <f t="shared" ref="N331:N339" si="173">IF(H331&gt;1,1,H331)</f>
        <v>1</v>
      </c>
      <c r="O331" s="41">
        <f t="shared" ref="O331" si="174">IF(I331&gt;1.25,1.25,I331)</f>
        <v>0.9801619908439958</v>
      </c>
      <c r="AC331" s="67">
        <f t="shared" si="144"/>
        <v>1.6469428007889546</v>
      </c>
      <c r="AD331" s="67">
        <f t="shared" si="144"/>
        <v>0.9801619908439958</v>
      </c>
    </row>
    <row r="332" spans="1:37" ht="56.25" outlineLevel="2" x14ac:dyDescent="0.25">
      <c r="A332" s="262" t="s">
        <v>506</v>
      </c>
      <c r="B332" s="168" t="s">
        <v>942</v>
      </c>
      <c r="C332" s="137" t="s">
        <v>321</v>
      </c>
      <c r="D332" s="171" t="s">
        <v>339</v>
      </c>
      <c r="E332" s="167">
        <v>11.4</v>
      </c>
      <c r="F332" s="167">
        <v>10.5</v>
      </c>
      <c r="G332" s="167">
        <v>13.98</v>
      </c>
      <c r="H332" s="336">
        <f t="shared" si="171"/>
        <v>1.3314285714285714</v>
      </c>
      <c r="I332" s="336">
        <f t="shared" si="172"/>
        <v>1.2263157894736842</v>
      </c>
      <c r="J332" s="335" t="s">
        <v>1356</v>
      </c>
      <c r="K332" s="335" t="s">
        <v>41</v>
      </c>
      <c r="L332" s="39" t="s">
        <v>149</v>
      </c>
      <c r="M332" s="40">
        <v>0</v>
      </c>
      <c r="N332" s="41">
        <f t="shared" si="173"/>
        <v>1</v>
      </c>
      <c r="O332" s="41" t="s">
        <v>41</v>
      </c>
      <c r="AC332" s="67">
        <f t="shared" ref="AC332:AC393" si="175">H332</f>
        <v>1.3314285714285714</v>
      </c>
      <c r="AD332" s="67" t="s">
        <v>41</v>
      </c>
    </row>
    <row r="333" spans="1:37" ht="45" outlineLevel="2" x14ac:dyDescent="0.25">
      <c r="A333" s="262" t="s">
        <v>507</v>
      </c>
      <c r="B333" s="168" t="s">
        <v>943</v>
      </c>
      <c r="C333" s="137" t="s">
        <v>514</v>
      </c>
      <c r="D333" s="171" t="s">
        <v>339</v>
      </c>
      <c r="E333" s="167">
        <v>39.5</v>
      </c>
      <c r="F333" s="167">
        <v>39.5</v>
      </c>
      <c r="G333" s="167">
        <v>32.1</v>
      </c>
      <c r="H333" s="336">
        <f t="shared" si="171"/>
        <v>0.81265822784810127</v>
      </c>
      <c r="I333" s="336">
        <f t="shared" si="172"/>
        <v>0.81265822784810127</v>
      </c>
      <c r="J333" s="335" t="s">
        <v>1357</v>
      </c>
      <c r="K333" s="335" t="s">
        <v>2075</v>
      </c>
      <c r="L333" s="39" t="s">
        <v>149</v>
      </c>
      <c r="M333" s="40">
        <v>0</v>
      </c>
      <c r="N333" s="41">
        <f t="shared" si="173"/>
        <v>0.81265822784810127</v>
      </c>
      <c r="O333" s="41" t="s">
        <v>41</v>
      </c>
      <c r="AC333" s="67">
        <f t="shared" si="175"/>
        <v>0.81265822784810127</v>
      </c>
      <c r="AD333" s="67" t="s">
        <v>41</v>
      </c>
    </row>
    <row r="334" spans="1:37" ht="33.75" outlineLevel="2" x14ac:dyDescent="0.25">
      <c r="A334" s="262" t="s">
        <v>509</v>
      </c>
      <c r="B334" s="168" t="s">
        <v>552</v>
      </c>
      <c r="C334" s="65" t="s">
        <v>944</v>
      </c>
      <c r="D334" s="171" t="s">
        <v>339</v>
      </c>
      <c r="E334" s="167">
        <v>561</v>
      </c>
      <c r="F334" s="167">
        <v>561</v>
      </c>
      <c r="G334" s="167">
        <v>1135</v>
      </c>
      <c r="H334" s="336">
        <f t="shared" si="171"/>
        <v>2.0231729055258465</v>
      </c>
      <c r="I334" s="336">
        <f t="shared" si="172"/>
        <v>2.0231729055258465</v>
      </c>
      <c r="J334" s="335" t="s">
        <v>1358</v>
      </c>
      <c r="K334" s="335" t="s">
        <v>41</v>
      </c>
      <c r="L334" s="39" t="s">
        <v>149</v>
      </c>
      <c r="M334" s="40">
        <v>0</v>
      </c>
      <c r="N334" s="41">
        <f t="shared" si="173"/>
        <v>1</v>
      </c>
      <c r="O334" s="41" t="s">
        <v>41</v>
      </c>
      <c r="AC334" s="67">
        <f t="shared" si="175"/>
        <v>2.0231729055258465</v>
      </c>
      <c r="AD334" s="67" t="s">
        <v>41</v>
      </c>
    </row>
    <row r="335" spans="1:37" ht="78.75" outlineLevel="2" x14ac:dyDescent="0.25">
      <c r="A335" s="262" t="s">
        <v>512</v>
      </c>
      <c r="B335" s="168" t="s">
        <v>553</v>
      </c>
      <c r="C335" s="137" t="s">
        <v>945</v>
      </c>
      <c r="D335" s="272" t="s">
        <v>319</v>
      </c>
      <c r="E335" s="167">
        <v>0.77380000000000004</v>
      </c>
      <c r="F335" s="167">
        <v>1.208</v>
      </c>
      <c r="G335" s="167">
        <v>0.89700000000000002</v>
      </c>
      <c r="H335" s="336">
        <f t="shared" si="171"/>
        <v>0.74254966887417218</v>
      </c>
      <c r="I335" s="336">
        <f t="shared" si="172"/>
        <v>1.1592142672525201</v>
      </c>
      <c r="J335" s="335" t="s">
        <v>1359</v>
      </c>
      <c r="K335" s="335" t="s">
        <v>2076</v>
      </c>
      <c r="L335" s="39" t="s">
        <v>149</v>
      </c>
      <c r="M335" s="40">
        <v>1</v>
      </c>
      <c r="N335" s="41">
        <f t="shared" si="173"/>
        <v>0.74254966887417218</v>
      </c>
      <c r="O335" s="41">
        <f t="shared" ref="O335:O339" si="176">IF(I335&gt;1.25,1.25,I335)</f>
        <v>1.1592142672525201</v>
      </c>
      <c r="AC335" s="67">
        <f t="shared" si="175"/>
        <v>0.74254966887417218</v>
      </c>
      <c r="AD335" s="67">
        <f t="shared" ref="AD335:AD384" si="177">I335</f>
        <v>1.1592142672525201</v>
      </c>
    </row>
    <row r="336" spans="1:37" ht="56.25" outlineLevel="2" x14ac:dyDescent="0.25">
      <c r="A336" s="262" t="s">
        <v>1828</v>
      </c>
      <c r="B336" s="168" t="s">
        <v>946</v>
      </c>
      <c r="C336" s="137" t="s">
        <v>941</v>
      </c>
      <c r="D336" s="171" t="s">
        <v>339</v>
      </c>
      <c r="E336" s="167">
        <v>424</v>
      </c>
      <c r="F336" s="167">
        <v>315</v>
      </c>
      <c r="G336" s="167">
        <v>487.6</v>
      </c>
      <c r="H336" s="336">
        <f t="shared" si="171"/>
        <v>1.5479365079365079</v>
      </c>
      <c r="I336" s="336">
        <f t="shared" si="172"/>
        <v>1.1500000000000001</v>
      </c>
      <c r="J336" s="335" t="s">
        <v>1241</v>
      </c>
      <c r="K336" s="335" t="s">
        <v>1360</v>
      </c>
      <c r="L336" s="39" t="s">
        <v>149</v>
      </c>
      <c r="M336" s="40">
        <v>0</v>
      </c>
      <c r="N336" s="41">
        <f t="shared" si="173"/>
        <v>1</v>
      </c>
      <c r="O336" s="41" t="s">
        <v>41</v>
      </c>
      <c r="AC336" s="67">
        <f t="shared" si="175"/>
        <v>1.5479365079365079</v>
      </c>
      <c r="AD336" s="67" t="s">
        <v>41</v>
      </c>
    </row>
    <row r="337" spans="1:37" ht="33.75" outlineLevel="2" x14ac:dyDescent="0.25">
      <c r="A337" s="262" t="s">
        <v>1829</v>
      </c>
      <c r="B337" s="168" t="s">
        <v>550</v>
      </c>
      <c r="C337" s="137" t="s">
        <v>365</v>
      </c>
      <c r="D337" s="272" t="s">
        <v>319</v>
      </c>
      <c r="E337" s="167">
        <v>163</v>
      </c>
      <c r="F337" s="167">
        <v>40</v>
      </c>
      <c r="G337" s="167">
        <v>186</v>
      </c>
      <c r="H337" s="336">
        <f t="shared" si="171"/>
        <v>4.6500000000000004</v>
      </c>
      <c r="I337" s="336">
        <f t="shared" si="172"/>
        <v>1.1411042944785277</v>
      </c>
      <c r="J337" s="335" t="s">
        <v>1242</v>
      </c>
      <c r="K337" s="335" t="s">
        <v>41</v>
      </c>
      <c r="L337" s="39" t="s">
        <v>149</v>
      </c>
      <c r="M337" s="40">
        <v>1</v>
      </c>
      <c r="N337" s="41">
        <f t="shared" si="173"/>
        <v>1</v>
      </c>
      <c r="O337" s="41" t="s">
        <v>41</v>
      </c>
      <c r="AC337" s="67">
        <f t="shared" si="175"/>
        <v>4.6500000000000004</v>
      </c>
      <c r="AD337" s="67" t="s">
        <v>41</v>
      </c>
    </row>
    <row r="338" spans="1:37" ht="33.75" outlineLevel="2" x14ac:dyDescent="0.25">
      <c r="A338" s="262" t="s">
        <v>1830</v>
      </c>
      <c r="B338" s="168" t="s">
        <v>551</v>
      </c>
      <c r="C338" s="137" t="s">
        <v>365</v>
      </c>
      <c r="D338" s="272" t="s">
        <v>319</v>
      </c>
      <c r="E338" s="167">
        <v>41</v>
      </c>
      <c r="F338" s="167">
        <v>34</v>
      </c>
      <c r="G338" s="167">
        <v>42</v>
      </c>
      <c r="H338" s="336">
        <f t="shared" si="171"/>
        <v>1.2352941176470589</v>
      </c>
      <c r="I338" s="336">
        <f t="shared" si="172"/>
        <v>1.024390243902439</v>
      </c>
      <c r="J338" s="335" t="s">
        <v>1243</v>
      </c>
      <c r="K338" s="335" t="s">
        <v>41</v>
      </c>
      <c r="L338" s="39" t="s">
        <v>149</v>
      </c>
      <c r="M338" s="40">
        <v>1</v>
      </c>
      <c r="N338" s="41">
        <f t="shared" si="173"/>
        <v>1</v>
      </c>
      <c r="O338" s="41" t="s">
        <v>41</v>
      </c>
      <c r="AC338" s="67">
        <f t="shared" si="175"/>
        <v>1.2352941176470589</v>
      </c>
      <c r="AD338" s="67" t="s">
        <v>41</v>
      </c>
    </row>
    <row r="339" spans="1:37" ht="22.5" outlineLevel="2" x14ac:dyDescent="0.25">
      <c r="A339" s="262" t="s">
        <v>1831</v>
      </c>
      <c r="B339" s="168" t="s">
        <v>947</v>
      </c>
      <c r="C339" s="137" t="s">
        <v>941</v>
      </c>
      <c r="D339" s="272" t="s">
        <v>319</v>
      </c>
      <c r="E339" s="167">
        <v>303.89999999999998</v>
      </c>
      <c r="F339" s="167">
        <v>244</v>
      </c>
      <c r="G339" s="167">
        <v>264</v>
      </c>
      <c r="H339" s="336">
        <f t="shared" si="171"/>
        <v>1.0819672131147542</v>
      </c>
      <c r="I339" s="336">
        <f t="shared" si="172"/>
        <v>0.86870681145113526</v>
      </c>
      <c r="J339" s="335" t="s">
        <v>1244</v>
      </c>
      <c r="K339" s="335" t="s">
        <v>41</v>
      </c>
      <c r="L339" s="39" t="s">
        <v>149</v>
      </c>
      <c r="M339" s="40">
        <v>1</v>
      </c>
      <c r="N339" s="41">
        <f t="shared" si="173"/>
        <v>1</v>
      </c>
      <c r="O339" s="41">
        <f t="shared" si="176"/>
        <v>0.86870681145113526</v>
      </c>
      <c r="AC339" s="67">
        <f t="shared" si="175"/>
        <v>1.0819672131147542</v>
      </c>
      <c r="AD339" s="67">
        <f t="shared" si="177"/>
        <v>0.86870681145113526</v>
      </c>
    </row>
    <row r="340" spans="1:37" s="47" customFormat="1" ht="27" customHeight="1" outlineLevel="1" x14ac:dyDescent="0.25">
      <c r="A340" s="68" t="s">
        <v>152</v>
      </c>
      <c r="B340" s="571" t="s">
        <v>952</v>
      </c>
      <c r="C340" s="571"/>
      <c r="D340" s="571"/>
      <c r="E340" s="571"/>
      <c r="F340" s="571"/>
      <c r="G340" s="571"/>
      <c r="H340" s="69">
        <f>AVERAGE(N341:N348)</f>
        <v>0.72242896732033268</v>
      </c>
      <c r="I340" s="69">
        <f>AVERAGE(O341:O345,O346:O348)</f>
        <v>0.70709823085488066</v>
      </c>
      <c r="J340" s="70"/>
      <c r="K340" s="70"/>
      <c r="L340" s="71"/>
      <c r="M340" s="64"/>
      <c r="N340" s="41"/>
      <c r="O340" s="41"/>
      <c r="P340" s="49"/>
      <c r="Q340" s="49"/>
      <c r="R340" s="104">
        <f>COUNTA(C341:C348)</f>
        <v>8</v>
      </c>
      <c r="S340" s="103">
        <v>0</v>
      </c>
      <c r="T340" s="104">
        <f>COUNTIFS(AC341:AC348,"&gt;1,50")</f>
        <v>2</v>
      </c>
      <c r="U340" s="104">
        <f>COUNTIFS(AC341:AC348,"&gt;=0,995",AC341:AC348,"&lt;=1,5")</f>
        <v>2</v>
      </c>
      <c r="V340" s="104">
        <f>COUNTIFS(AC341:AC348,"&gt;=0,85",AC341:AC348,"&lt;0,995")</f>
        <v>1</v>
      </c>
      <c r="W340" s="104">
        <f>COUNTIFS(AC341:AC348,"&lt;0,85")</f>
        <v>3</v>
      </c>
      <c r="X340" s="52"/>
      <c r="Z340" s="96">
        <f>COUNTIFS(AD341:AD348,"&gt;=1,01")</f>
        <v>2</v>
      </c>
      <c r="AA340" s="96">
        <f>COUNTIFS(AD341:AD348,"&gt;=0,99",AD341:AD348,"&lt;1,01")</f>
        <v>1</v>
      </c>
      <c r="AB340" s="97">
        <f>COUNTIFS(AD341:AD348,"&lt;0,99")</f>
        <v>3</v>
      </c>
      <c r="AC340" s="67"/>
      <c r="AD340" s="67"/>
      <c r="AK340" s="47">
        <f>SUM(T340:X340)-R340</f>
        <v>0</v>
      </c>
    </row>
    <row r="341" spans="1:37" ht="33.75" outlineLevel="2" x14ac:dyDescent="0.25">
      <c r="A341" s="262" t="s">
        <v>1832</v>
      </c>
      <c r="B341" s="155" t="s">
        <v>953</v>
      </c>
      <c r="C341" s="137" t="s">
        <v>343</v>
      </c>
      <c r="D341" s="280" t="s">
        <v>302</v>
      </c>
      <c r="E341" s="167">
        <v>0</v>
      </c>
      <c r="F341" s="167">
        <v>0</v>
      </c>
      <c r="G341" s="167">
        <v>2</v>
      </c>
      <c r="H341" s="336">
        <f>F341/G341</f>
        <v>0</v>
      </c>
      <c r="I341" s="336">
        <f>E341/G341</f>
        <v>0</v>
      </c>
      <c r="J341" s="335" t="s">
        <v>1361</v>
      </c>
      <c r="K341" s="335" t="s">
        <v>1362</v>
      </c>
      <c r="L341" s="292" t="s">
        <v>157</v>
      </c>
      <c r="M341" s="40">
        <v>-1</v>
      </c>
      <c r="N341" s="41">
        <f t="shared" ref="N341:N344" si="178">IF(H341&gt;1,1,H341)</f>
        <v>0</v>
      </c>
      <c r="O341" s="41">
        <f t="shared" ref="O341:O343" si="179">IF(I341&gt;1.25,1.25,I341)</f>
        <v>0</v>
      </c>
      <c r="AC341" s="67">
        <f t="shared" si="175"/>
        <v>0</v>
      </c>
      <c r="AD341" s="67">
        <f t="shared" si="177"/>
        <v>0</v>
      </c>
    </row>
    <row r="342" spans="1:37" ht="101.25" outlineLevel="2" x14ac:dyDescent="0.25">
      <c r="A342" s="262" t="s">
        <v>515</v>
      </c>
      <c r="B342" s="168" t="s">
        <v>954</v>
      </c>
      <c r="C342" s="137" t="s">
        <v>343</v>
      </c>
      <c r="D342" s="280" t="s">
        <v>302</v>
      </c>
      <c r="E342" s="167">
        <v>0</v>
      </c>
      <c r="F342" s="167">
        <v>0</v>
      </c>
      <c r="G342" s="167">
        <v>2</v>
      </c>
      <c r="H342" s="336">
        <f>F342/G342</f>
        <v>0</v>
      </c>
      <c r="I342" s="336">
        <f>E342/G342</f>
        <v>0</v>
      </c>
      <c r="J342" s="167" t="s">
        <v>1374</v>
      </c>
      <c r="K342" s="335" t="s">
        <v>1363</v>
      </c>
      <c r="L342" s="292" t="s">
        <v>157</v>
      </c>
      <c r="M342" s="40">
        <v>-1</v>
      </c>
      <c r="N342" s="41">
        <f t="shared" si="178"/>
        <v>0</v>
      </c>
      <c r="O342" s="41">
        <f t="shared" si="179"/>
        <v>0</v>
      </c>
      <c r="AC342" s="67">
        <f t="shared" si="175"/>
        <v>0</v>
      </c>
      <c r="AD342" s="67">
        <f t="shared" si="177"/>
        <v>0</v>
      </c>
    </row>
    <row r="343" spans="1:37" ht="112.5" customHeight="1" outlineLevel="2" x14ac:dyDescent="0.25">
      <c r="A343" s="262" t="s">
        <v>517</v>
      </c>
      <c r="B343" s="168" t="s">
        <v>543</v>
      </c>
      <c r="C343" s="137" t="s">
        <v>321</v>
      </c>
      <c r="D343" s="280" t="s">
        <v>302</v>
      </c>
      <c r="E343" s="167">
        <v>0</v>
      </c>
      <c r="F343" s="167">
        <v>4.3999999999999997E-2</v>
      </c>
      <c r="G343" s="167">
        <v>5.0000000000000001E-3</v>
      </c>
      <c r="H343" s="336">
        <f>F343/G343</f>
        <v>8.7999999999999989</v>
      </c>
      <c r="I343" s="336">
        <v>1</v>
      </c>
      <c r="J343" s="335" t="s">
        <v>1364</v>
      </c>
      <c r="K343" s="335" t="s">
        <v>41</v>
      </c>
      <c r="L343" s="292" t="s">
        <v>157</v>
      </c>
      <c r="M343" s="40">
        <v>-1</v>
      </c>
      <c r="N343" s="41">
        <f t="shared" si="178"/>
        <v>1</v>
      </c>
      <c r="O343" s="41">
        <f t="shared" si="179"/>
        <v>1</v>
      </c>
      <c r="AC343" s="67">
        <f t="shared" si="175"/>
        <v>8.7999999999999989</v>
      </c>
      <c r="AD343" s="67">
        <f t="shared" si="177"/>
        <v>1</v>
      </c>
    </row>
    <row r="344" spans="1:37" ht="56.25" outlineLevel="2" x14ac:dyDescent="0.25">
      <c r="A344" s="262" t="s">
        <v>518</v>
      </c>
      <c r="B344" s="168" t="s">
        <v>547</v>
      </c>
      <c r="C344" s="137" t="s">
        <v>548</v>
      </c>
      <c r="D344" s="171" t="s">
        <v>339</v>
      </c>
      <c r="E344" s="167">
        <v>50.314999999999998</v>
      </c>
      <c r="F344" s="167">
        <v>62.17</v>
      </c>
      <c r="G344" s="167">
        <v>49.511000000000003</v>
      </c>
      <c r="H344" s="336">
        <f>G344/F344</f>
        <v>0.79638089110503463</v>
      </c>
      <c r="I344" s="336">
        <f>G344/E344</f>
        <v>0.98402066978038372</v>
      </c>
      <c r="J344" s="335" t="s">
        <v>1365</v>
      </c>
      <c r="K344" s="335" t="s">
        <v>1366</v>
      </c>
      <c r="L344" s="292" t="s">
        <v>157</v>
      </c>
      <c r="M344" s="40">
        <v>0</v>
      </c>
      <c r="N344" s="41">
        <f t="shared" si="178"/>
        <v>0.79638089110503463</v>
      </c>
      <c r="O344" s="41" t="s">
        <v>41</v>
      </c>
      <c r="AC344" s="67">
        <f t="shared" si="175"/>
        <v>0.79638089110503463</v>
      </c>
      <c r="AD344" s="67"/>
    </row>
    <row r="345" spans="1:37" ht="56.25" outlineLevel="2" x14ac:dyDescent="0.25">
      <c r="A345" s="262" t="s">
        <v>1833</v>
      </c>
      <c r="B345" s="168" t="s">
        <v>549</v>
      </c>
      <c r="C345" s="137" t="s">
        <v>548</v>
      </c>
      <c r="D345" s="171" t="s">
        <v>339</v>
      </c>
      <c r="E345" s="167">
        <v>51.125999999999998</v>
      </c>
      <c r="F345" s="167">
        <v>46</v>
      </c>
      <c r="G345" s="167">
        <v>49.548000000000002</v>
      </c>
      <c r="H345" s="336">
        <f>G345/F345</f>
        <v>1.0771304347826087</v>
      </c>
      <c r="I345" s="336">
        <f>G345/E345</f>
        <v>0.96913507804248333</v>
      </c>
      <c r="J345" s="335" t="s">
        <v>1367</v>
      </c>
      <c r="K345" s="335" t="s">
        <v>41</v>
      </c>
      <c r="L345" s="292" t="s">
        <v>157</v>
      </c>
      <c r="M345" s="40">
        <v>0</v>
      </c>
      <c r="N345" s="41">
        <f>IF(H345&gt;1,1,H345)</f>
        <v>1</v>
      </c>
      <c r="O345" s="41" t="s">
        <v>41</v>
      </c>
      <c r="AC345" s="67">
        <f t="shared" si="175"/>
        <v>1.0771304347826087</v>
      </c>
      <c r="AD345" s="67"/>
    </row>
    <row r="346" spans="1:37" ht="102.75" customHeight="1" outlineLevel="2" x14ac:dyDescent="0.25">
      <c r="A346" s="262" t="s">
        <v>1834</v>
      </c>
      <c r="B346" s="339" t="s">
        <v>955</v>
      </c>
      <c r="C346" s="137" t="s">
        <v>321</v>
      </c>
      <c r="D346" s="272" t="s">
        <v>319</v>
      </c>
      <c r="E346" s="167">
        <v>33.299999999999997</v>
      </c>
      <c r="F346" s="167">
        <v>93.8</v>
      </c>
      <c r="G346" s="167">
        <v>97.6</v>
      </c>
      <c r="H346" s="336">
        <f>G346/F346</f>
        <v>1.0405117270788913</v>
      </c>
      <c r="I346" s="336">
        <f>G346/E346</f>
        <v>2.930930930930931</v>
      </c>
      <c r="J346" s="335" t="s">
        <v>1368</v>
      </c>
      <c r="K346" s="335" t="s">
        <v>41</v>
      </c>
      <c r="L346" s="292" t="s">
        <v>157</v>
      </c>
      <c r="M346" s="40">
        <v>1</v>
      </c>
      <c r="N346" s="41">
        <f t="shared" ref="N346:N348" si="180">IF(H346&gt;1,1,H346)</f>
        <v>1</v>
      </c>
      <c r="O346" s="41">
        <f t="shared" ref="O346:O348" si="181">IF(I346&gt;1.25,1.25,I346)</f>
        <v>1.25</v>
      </c>
      <c r="AC346" s="67">
        <f t="shared" si="175"/>
        <v>1.0405117270788913</v>
      </c>
      <c r="AD346" s="67">
        <f t="shared" si="177"/>
        <v>2.930930930930931</v>
      </c>
    </row>
    <row r="347" spans="1:37" ht="56.25" outlineLevel="2" x14ac:dyDescent="0.25">
      <c r="A347" s="262" t="s">
        <v>1835</v>
      </c>
      <c r="B347" s="155" t="s">
        <v>693</v>
      </c>
      <c r="C347" s="137" t="s">
        <v>327</v>
      </c>
      <c r="D347" s="280" t="s">
        <v>302</v>
      </c>
      <c r="E347" s="167">
        <v>767</v>
      </c>
      <c r="F347" s="167">
        <v>1350</v>
      </c>
      <c r="G347" s="167">
        <v>685</v>
      </c>
      <c r="H347" s="336">
        <f>F347/G347</f>
        <v>1.9708029197080292</v>
      </c>
      <c r="I347" s="336">
        <f>E347/G347</f>
        <v>1.1197080291970802</v>
      </c>
      <c r="J347" s="335" t="s">
        <v>1245</v>
      </c>
      <c r="K347" s="335" t="s">
        <v>41</v>
      </c>
      <c r="L347" s="292" t="s">
        <v>157</v>
      </c>
      <c r="M347" s="40">
        <v>-1</v>
      </c>
      <c r="N347" s="41">
        <f t="shared" si="180"/>
        <v>1</v>
      </c>
      <c r="O347" s="41">
        <f t="shared" si="181"/>
        <v>1.1197080291970802</v>
      </c>
      <c r="AC347" s="67">
        <f t="shared" si="175"/>
        <v>1.9708029197080292</v>
      </c>
      <c r="AD347" s="67">
        <f t="shared" si="177"/>
        <v>1.1197080291970802</v>
      </c>
    </row>
    <row r="348" spans="1:37" ht="45" outlineLevel="2" x14ac:dyDescent="0.25">
      <c r="A348" s="262" t="s">
        <v>1836</v>
      </c>
      <c r="B348" s="155" t="s">
        <v>694</v>
      </c>
      <c r="C348" s="137" t="s">
        <v>321</v>
      </c>
      <c r="D348" s="280" t="s">
        <v>302</v>
      </c>
      <c r="E348" s="167">
        <v>51.5</v>
      </c>
      <c r="F348" s="167">
        <v>58</v>
      </c>
      <c r="G348" s="167">
        <v>59</v>
      </c>
      <c r="H348" s="336">
        <f>F348/G348</f>
        <v>0.98305084745762716</v>
      </c>
      <c r="I348" s="336">
        <f>E348/G348</f>
        <v>0.8728813559322034</v>
      </c>
      <c r="J348" s="335" t="s">
        <v>2077</v>
      </c>
      <c r="K348" s="335" t="s">
        <v>1369</v>
      </c>
      <c r="L348" s="292" t="s">
        <v>157</v>
      </c>
      <c r="M348" s="40">
        <v>-1</v>
      </c>
      <c r="N348" s="41">
        <f t="shared" si="180"/>
        <v>0.98305084745762716</v>
      </c>
      <c r="O348" s="41">
        <f t="shared" si="181"/>
        <v>0.8728813559322034</v>
      </c>
      <c r="AC348" s="67">
        <f t="shared" si="175"/>
        <v>0.98305084745762716</v>
      </c>
      <c r="AD348" s="67">
        <f t="shared" si="177"/>
        <v>0.8728813559322034</v>
      </c>
    </row>
    <row r="349" spans="1:37" s="47" customFormat="1" ht="17.25" customHeight="1" outlineLevel="1" x14ac:dyDescent="0.25">
      <c r="A349" s="68" t="s">
        <v>153</v>
      </c>
      <c r="B349" s="571" t="s">
        <v>956</v>
      </c>
      <c r="C349" s="571"/>
      <c r="D349" s="571"/>
      <c r="E349" s="571"/>
      <c r="F349" s="571"/>
      <c r="G349" s="571"/>
      <c r="H349" s="69">
        <f>AVERAGE(N350:N351)</f>
        <v>0.5</v>
      </c>
      <c r="I349" s="69">
        <v>1</v>
      </c>
      <c r="J349" s="70"/>
      <c r="K349" s="70"/>
      <c r="L349" s="71"/>
      <c r="M349" s="64"/>
      <c r="N349" s="41"/>
      <c r="O349" s="41"/>
      <c r="P349" s="49"/>
      <c r="Q349" s="49"/>
      <c r="R349" s="104">
        <f>COUNTA(C350:C351)</f>
        <v>2</v>
      </c>
      <c r="S349" s="103">
        <v>0</v>
      </c>
      <c r="T349" s="104">
        <f>COUNTIFS(AC350:AC351,"&gt;1,50")</f>
        <v>0</v>
      </c>
      <c r="U349" s="104">
        <f>COUNTIFS(AC350:AC351,"&gt;=0,995",AC350:AC351,"&lt;=1,5")</f>
        <v>1</v>
      </c>
      <c r="V349" s="104">
        <f>COUNTIFS(AC350:AC351,"&gt;=0,85",AC350:AC351,"&lt;0,995")</f>
        <v>0</v>
      </c>
      <c r="W349" s="104">
        <f>COUNTIFS(AC350:AC351,"&lt;0,85")</f>
        <v>1</v>
      </c>
      <c r="X349" s="52"/>
      <c r="Z349" s="96">
        <f>COUNTIFS(AD350:AD351,"&gt;=1,01")</f>
        <v>0</v>
      </c>
      <c r="AA349" s="96">
        <f>COUNTIFS(AD350:AD351,"&gt;=0,99",AD350:AD351,"&lt;1,01")</f>
        <v>0</v>
      </c>
      <c r="AB349" s="97">
        <f>COUNTIFS(AD350:AD351,"&lt;0,99")</f>
        <v>0</v>
      </c>
      <c r="AC349" s="67"/>
      <c r="AD349" s="67"/>
      <c r="AK349" s="47">
        <f>SUM(T349:X349)-R349</f>
        <v>0</v>
      </c>
    </row>
    <row r="350" spans="1:37" s="47" customFormat="1" ht="57.75" customHeight="1" outlineLevel="1" x14ac:dyDescent="0.25">
      <c r="A350" s="262" t="s">
        <v>519</v>
      </c>
      <c r="B350" s="79" t="s">
        <v>692</v>
      </c>
      <c r="C350" s="80" t="s">
        <v>538</v>
      </c>
      <c r="D350" s="81" t="s">
        <v>339</v>
      </c>
      <c r="E350" s="167">
        <v>62</v>
      </c>
      <c r="F350" s="167">
        <v>112.5</v>
      </c>
      <c r="G350" s="167">
        <v>0</v>
      </c>
      <c r="H350" s="82">
        <f t="shared" ref="H350" si="182">G350/F350</f>
        <v>0</v>
      </c>
      <c r="I350" s="82">
        <f t="shared" ref="I350" si="183">G350/E350</f>
        <v>0</v>
      </c>
      <c r="J350" s="335" t="s">
        <v>1372</v>
      </c>
      <c r="K350" s="335" t="s">
        <v>1373</v>
      </c>
      <c r="L350" s="39" t="s">
        <v>149</v>
      </c>
      <c r="M350" s="40">
        <v>0</v>
      </c>
      <c r="N350" s="41">
        <f t="shared" ref="N350" si="184">IF(H350&gt;1,1,H350)</f>
        <v>0</v>
      </c>
      <c r="O350" s="41" t="s">
        <v>41</v>
      </c>
      <c r="P350" s="49"/>
      <c r="Q350" s="49"/>
      <c r="R350" s="426"/>
      <c r="S350" s="103"/>
      <c r="T350" s="426"/>
      <c r="U350" s="426"/>
      <c r="V350" s="426"/>
      <c r="W350" s="426"/>
      <c r="X350" s="52"/>
      <c r="Z350" s="427"/>
      <c r="AA350" s="427"/>
      <c r="AB350" s="427"/>
      <c r="AC350" s="67">
        <f t="shared" ref="AC350:AC351" si="185">H350</f>
        <v>0</v>
      </c>
      <c r="AD350" s="67" t="s">
        <v>41</v>
      </c>
    </row>
    <row r="351" spans="1:37" ht="22.5" outlineLevel="2" x14ac:dyDescent="0.25">
      <c r="A351" s="262" t="s">
        <v>519</v>
      </c>
      <c r="B351" s="79" t="s">
        <v>1370</v>
      </c>
      <c r="C351" s="80" t="s">
        <v>343</v>
      </c>
      <c r="D351" s="81" t="s">
        <v>339</v>
      </c>
      <c r="E351" s="167" t="s">
        <v>41</v>
      </c>
      <c r="F351" s="167">
        <v>2</v>
      </c>
      <c r="G351" s="167">
        <v>2</v>
      </c>
      <c r="H351" s="82">
        <f t="shared" ref="H351" si="186">G351/F351</f>
        <v>1</v>
      </c>
      <c r="I351" s="82" t="s">
        <v>41</v>
      </c>
      <c r="J351" s="335" t="s">
        <v>41</v>
      </c>
      <c r="K351" s="335" t="s">
        <v>41</v>
      </c>
      <c r="L351" s="39" t="s">
        <v>1371</v>
      </c>
      <c r="M351" s="40">
        <v>0</v>
      </c>
      <c r="N351" s="41">
        <f t="shared" ref="N351" si="187">IF(H351&gt;1,1,H351)</f>
        <v>1</v>
      </c>
      <c r="O351" s="41" t="s">
        <v>41</v>
      </c>
      <c r="AC351" s="67">
        <f t="shared" si="185"/>
        <v>1</v>
      </c>
      <c r="AD351" s="67" t="str">
        <f t="shared" ref="AD351" si="188">I351</f>
        <v>-</v>
      </c>
    </row>
    <row r="352" spans="1:37" s="47" customFormat="1" ht="21.75" customHeight="1" x14ac:dyDescent="0.25">
      <c r="A352" s="493" t="s">
        <v>156</v>
      </c>
      <c r="B352" s="578" t="s">
        <v>1577</v>
      </c>
      <c r="C352" s="578"/>
      <c r="D352" s="578"/>
      <c r="E352" s="578"/>
      <c r="F352" s="578"/>
      <c r="G352" s="578"/>
      <c r="H352" s="494">
        <f>AVERAGE(N353:N355,N357:N365,N367:N373,N375:N380)</f>
        <v>0.97312758223436191</v>
      </c>
      <c r="I352" s="494">
        <f>AVERAGE(O353:O355,O357:O365,O367:O373,O375:O380)</f>
        <v>1.026490227941574</v>
      </c>
      <c r="J352" s="495"/>
      <c r="K352" s="495"/>
      <c r="L352" s="496"/>
      <c r="M352" s="40"/>
      <c r="N352" s="212"/>
      <c r="O352" s="212"/>
      <c r="P352" s="49"/>
      <c r="Q352" s="49"/>
      <c r="R352" s="110">
        <f>COUNTA(C353:C380)</f>
        <v>25</v>
      </c>
      <c r="S352" s="102">
        <f>R352-T352-U352-V352-W352</f>
        <v>0</v>
      </c>
      <c r="T352" s="110">
        <f>COUNTIFS(AC353:AC380,"&gt;1,50")</f>
        <v>6</v>
      </c>
      <c r="U352" s="110">
        <f>COUNTIFS(AC353:AC380,"&gt;=0,995",AC353:AC380,"&lt;=1,5")</f>
        <v>15</v>
      </c>
      <c r="V352" s="110">
        <f>COUNTIFS(AC353:AC380,"&gt;=0,85",AC353:AC380,"&lt;0,995")</f>
        <v>1</v>
      </c>
      <c r="W352" s="110">
        <f>COUNTIFS(AC353:AC380,"&lt;0,85")</f>
        <v>3</v>
      </c>
      <c r="X352" s="49"/>
      <c r="Z352" s="100">
        <f>COUNTIFS(AD353:AD380,"&gt;=1,01")</f>
        <v>5</v>
      </c>
      <c r="AA352" s="100">
        <f>COUNTIFS(AD353:AD380,"&gt;=0,99",AD353:AD380,"&lt;1,01")</f>
        <v>3</v>
      </c>
      <c r="AB352" s="101">
        <f>COUNTIFS(AD353:AD380,"&lt;0,99")</f>
        <v>4</v>
      </c>
      <c r="AC352" s="67"/>
      <c r="AD352" s="67"/>
      <c r="AK352" s="47">
        <f>SUM(T352:X352)-R352</f>
        <v>0</v>
      </c>
    </row>
    <row r="353" spans="1:37" ht="67.5" outlineLevel="2" x14ac:dyDescent="0.25">
      <c r="A353" s="262" t="s">
        <v>522</v>
      </c>
      <c r="B353" s="453" t="s">
        <v>1579</v>
      </c>
      <c r="C353" s="167" t="s">
        <v>1578</v>
      </c>
      <c r="D353" s="272" t="s">
        <v>319</v>
      </c>
      <c r="E353" s="167">
        <v>48.01</v>
      </c>
      <c r="F353" s="167">
        <v>48.727800000000002</v>
      </c>
      <c r="G353" s="167">
        <v>49.965000000000003</v>
      </c>
      <c r="H353" s="286">
        <f>G353/F353*100%</f>
        <v>1.0253900237646683</v>
      </c>
      <c r="I353" s="286">
        <f>G353/E353</f>
        <v>1.0407206831910021</v>
      </c>
      <c r="J353" s="141" t="s">
        <v>41</v>
      </c>
      <c r="K353" s="141" t="s">
        <v>41</v>
      </c>
      <c r="L353" s="137" t="s">
        <v>690</v>
      </c>
      <c r="M353" s="40">
        <v>1</v>
      </c>
      <c r="N353" s="41">
        <f t="shared" ref="N353:N355" si="189">IF(H353&gt;1,1,H353)</f>
        <v>1</v>
      </c>
      <c r="O353" s="41">
        <f t="shared" ref="O353" si="190">IF(I353&gt;1.25,1.25,I353)</f>
        <v>1.0407206831910021</v>
      </c>
      <c r="AC353" s="67">
        <f t="shared" si="175"/>
        <v>1.0253900237646683</v>
      </c>
      <c r="AD353" s="67">
        <f t="shared" si="177"/>
        <v>1.0407206831910021</v>
      </c>
    </row>
    <row r="354" spans="1:37" ht="67.5" outlineLevel="2" x14ac:dyDescent="0.25">
      <c r="A354" s="262" t="s">
        <v>523</v>
      </c>
      <c r="B354" s="453" t="s">
        <v>556</v>
      </c>
      <c r="C354" s="162" t="s">
        <v>343</v>
      </c>
      <c r="D354" s="340" t="s">
        <v>339</v>
      </c>
      <c r="E354" s="167">
        <v>179</v>
      </c>
      <c r="F354" s="167">
        <v>179</v>
      </c>
      <c r="G354" s="167">
        <v>184</v>
      </c>
      <c r="H354" s="341">
        <f>G354/F354</f>
        <v>1.0279329608938548</v>
      </c>
      <c r="I354" s="341" t="s">
        <v>41</v>
      </c>
      <c r="J354" s="141" t="s">
        <v>41</v>
      </c>
      <c r="K354" s="141" t="s">
        <v>41</v>
      </c>
      <c r="L354" s="242" t="s">
        <v>690</v>
      </c>
      <c r="M354" s="40">
        <v>0</v>
      </c>
      <c r="N354" s="41">
        <f t="shared" si="189"/>
        <v>1</v>
      </c>
      <c r="O354" s="41" t="s">
        <v>41</v>
      </c>
      <c r="AC354" s="67">
        <f t="shared" si="175"/>
        <v>1.0279329608938548</v>
      </c>
      <c r="AD354" s="67" t="str">
        <f t="shared" si="177"/>
        <v>-</v>
      </c>
    </row>
    <row r="355" spans="1:37" ht="67.5" outlineLevel="2" x14ac:dyDescent="0.25">
      <c r="A355" s="262" t="s">
        <v>524</v>
      </c>
      <c r="B355" s="453" t="s">
        <v>558</v>
      </c>
      <c r="C355" s="167" t="s">
        <v>343</v>
      </c>
      <c r="D355" s="280" t="s">
        <v>302</v>
      </c>
      <c r="E355" s="167">
        <v>670</v>
      </c>
      <c r="F355" s="167">
        <v>890</v>
      </c>
      <c r="G355" s="167">
        <v>622</v>
      </c>
      <c r="H355" s="286">
        <f>F355/G355</f>
        <v>1.4308681672025723</v>
      </c>
      <c r="I355" s="286">
        <f>E355/G355</f>
        <v>1.0771704180064308</v>
      </c>
      <c r="J355" s="137" t="s">
        <v>41</v>
      </c>
      <c r="K355" s="137" t="s">
        <v>41</v>
      </c>
      <c r="L355" s="137" t="s">
        <v>690</v>
      </c>
      <c r="M355" s="40">
        <v>-1</v>
      </c>
      <c r="N355" s="41">
        <f t="shared" si="189"/>
        <v>1</v>
      </c>
      <c r="O355" s="41">
        <f t="shared" ref="O355" si="191">IF(I355&gt;1.25,1.25,I355)</f>
        <v>1.0771704180064308</v>
      </c>
      <c r="AC355" s="67">
        <f t="shared" si="175"/>
        <v>1.4308681672025723</v>
      </c>
      <c r="AD355" s="67">
        <f t="shared" si="177"/>
        <v>1.0771704180064308</v>
      </c>
    </row>
    <row r="356" spans="1:37" s="47" customFormat="1" outlineLevel="1" x14ac:dyDescent="0.25">
      <c r="A356" s="68" t="s">
        <v>158</v>
      </c>
      <c r="B356" s="571" t="s">
        <v>559</v>
      </c>
      <c r="C356" s="571"/>
      <c r="D356" s="571"/>
      <c r="E356" s="571"/>
      <c r="F356" s="571"/>
      <c r="G356" s="571"/>
      <c r="H356" s="69">
        <f>AVERAGE(N357:N365)</f>
        <v>0.9801169590643275</v>
      </c>
      <c r="I356" s="69">
        <f>AVERAGE(O357:O365)</f>
        <v>1.1080225742909708</v>
      </c>
      <c r="J356" s="70"/>
      <c r="K356" s="70"/>
      <c r="L356" s="71"/>
      <c r="M356" s="40"/>
      <c r="N356" s="41"/>
      <c r="O356" s="41"/>
      <c r="P356" s="49"/>
      <c r="Q356" s="49"/>
      <c r="R356" s="104">
        <f>COUNTA(C357:C365)</f>
        <v>9</v>
      </c>
      <c r="S356" s="103">
        <v>0</v>
      </c>
      <c r="T356" s="104">
        <f>COUNTIFS(AC357:AC365,"&gt;1,50")</f>
        <v>3</v>
      </c>
      <c r="U356" s="104">
        <f>COUNTIFS(AC357:AC365,"&gt;=0,995",AC357:AC365,"&lt;=1,5")</f>
        <v>5</v>
      </c>
      <c r="V356" s="104">
        <f>COUNTIFS(AC357:AC365,"&gt;=0,85",AC357:AC365,"&lt;0,995")</f>
        <v>0</v>
      </c>
      <c r="W356" s="104">
        <f>COUNTIFS(AC357:AC365,"&lt;0,85")</f>
        <v>1</v>
      </c>
      <c r="X356" s="52"/>
      <c r="Z356" s="96">
        <f>COUNTIFS(AD357:AD365,"&gt;=1,01")</f>
        <v>3</v>
      </c>
      <c r="AA356" s="96">
        <f>COUNTIFS(AD357:AD365,"&gt;=0,99",AD357:AD365,"&lt;1,01")</f>
        <v>1</v>
      </c>
      <c r="AB356" s="97">
        <f>COUNTIFS(AD357:AD365,"&lt;0,99")</f>
        <v>1</v>
      </c>
      <c r="AC356" s="67"/>
      <c r="AD356" s="67"/>
      <c r="AK356" s="47">
        <f>SUM(T356:X356)-R356</f>
        <v>0</v>
      </c>
    </row>
    <row r="357" spans="1:37" ht="112.5" outlineLevel="2" x14ac:dyDescent="0.25">
      <c r="A357" s="262" t="s">
        <v>1348</v>
      </c>
      <c r="B357" s="453" t="s">
        <v>561</v>
      </c>
      <c r="C357" s="167" t="s">
        <v>514</v>
      </c>
      <c r="D357" s="171" t="s">
        <v>339</v>
      </c>
      <c r="E357" s="167">
        <v>114.9</v>
      </c>
      <c r="F357" s="167">
        <v>100</v>
      </c>
      <c r="G357" s="167">
        <v>121.9</v>
      </c>
      <c r="H357" s="142">
        <f t="shared" ref="H357:H365" si="192">G357/F357</f>
        <v>1.2190000000000001</v>
      </c>
      <c r="I357" s="142">
        <f>G357/E357</f>
        <v>1.0609225413402958</v>
      </c>
      <c r="J357" s="450" t="s">
        <v>41</v>
      </c>
      <c r="K357" s="450" t="s">
        <v>41</v>
      </c>
      <c r="L357" s="135" t="s">
        <v>690</v>
      </c>
      <c r="M357" s="40">
        <v>0</v>
      </c>
      <c r="N357" s="41">
        <f t="shared" ref="N357:N365" si="193">IF(H357&gt;1,1,H357)</f>
        <v>1</v>
      </c>
      <c r="O357" s="41" t="s">
        <v>41</v>
      </c>
      <c r="AC357" s="67">
        <f t="shared" si="175"/>
        <v>1.2190000000000001</v>
      </c>
      <c r="AD357" s="67" t="s">
        <v>41</v>
      </c>
    </row>
    <row r="358" spans="1:37" ht="67.5" outlineLevel="2" x14ac:dyDescent="0.25">
      <c r="A358" s="262" t="s">
        <v>529</v>
      </c>
      <c r="B358" s="453" t="s">
        <v>1581</v>
      </c>
      <c r="C358" s="167" t="s">
        <v>567</v>
      </c>
      <c r="D358" s="171" t="s">
        <v>339</v>
      </c>
      <c r="E358" s="167">
        <v>12588</v>
      </c>
      <c r="F358" s="167">
        <v>8075</v>
      </c>
      <c r="G358" s="167">
        <v>6630</v>
      </c>
      <c r="H358" s="142">
        <f t="shared" si="192"/>
        <v>0.82105263157894737</v>
      </c>
      <c r="I358" s="142">
        <f>G358/E358</f>
        <v>0.52669208770257392</v>
      </c>
      <c r="J358" s="450" t="s">
        <v>1590</v>
      </c>
      <c r="K358" s="450" t="s">
        <v>41</v>
      </c>
      <c r="L358" s="135" t="s">
        <v>690</v>
      </c>
      <c r="M358" s="40">
        <v>0</v>
      </c>
      <c r="N358" s="41">
        <f t="shared" si="193"/>
        <v>0.82105263157894737</v>
      </c>
      <c r="O358" s="41" t="s">
        <v>41</v>
      </c>
      <c r="AC358" s="67">
        <f t="shared" si="175"/>
        <v>0.82105263157894737</v>
      </c>
      <c r="AD358" s="67" t="s">
        <v>41</v>
      </c>
    </row>
    <row r="359" spans="1:37" ht="67.5" outlineLevel="2" x14ac:dyDescent="0.25">
      <c r="A359" s="262" t="s">
        <v>1837</v>
      </c>
      <c r="B359" s="453" t="s">
        <v>1582</v>
      </c>
      <c r="C359" s="167" t="s">
        <v>1578</v>
      </c>
      <c r="D359" s="272" t="s">
        <v>319</v>
      </c>
      <c r="E359" s="167">
        <v>76.36</v>
      </c>
      <c r="F359" s="167">
        <v>80.571399999999997</v>
      </c>
      <c r="G359" s="167">
        <v>80.819400000000002</v>
      </c>
      <c r="H359" s="142">
        <f t="shared" si="192"/>
        <v>1.003078015275892</v>
      </c>
      <c r="I359" s="142">
        <f>G359/E359</f>
        <v>1.058399685699319</v>
      </c>
      <c r="J359" s="450" t="s">
        <v>41</v>
      </c>
      <c r="K359" s="450" t="s">
        <v>41</v>
      </c>
      <c r="L359" s="135" t="s">
        <v>690</v>
      </c>
      <c r="M359" s="40">
        <v>1</v>
      </c>
      <c r="N359" s="41">
        <f t="shared" si="193"/>
        <v>1</v>
      </c>
      <c r="O359" s="41">
        <f t="shared" ref="O359:O363" si="194">IF(I359&gt;1.25,1.25,I359)</f>
        <v>1.058399685699319</v>
      </c>
      <c r="AC359" s="67">
        <f t="shared" si="175"/>
        <v>1.003078015275892</v>
      </c>
      <c r="AD359" s="67">
        <f t="shared" si="177"/>
        <v>1.058399685699319</v>
      </c>
    </row>
    <row r="360" spans="1:37" ht="67.5" outlineLevel="2" x14ac:dyDescent="0.25">
      <c r="A360" s="262" t="s">
        <v>1838</v>
      </c>
      <c r="B360" s="453" t="s">
        <v>1583</v>
      </c>
      <c r="C360" s="167" t="s">
        <v>1588</v>
      </c>
      <c r="D360" s="272" t="s">
        <v>319</v>
      </c>
      <c r="E360" s="167">
        <v>100</v>
      </c>
      <c r="F360" s="167">
        <v>66</v>
      </c>
      <c r="G360" s="167">
        <v>100</v>
      </c>
      <c r="H360" s="142">
        <f t="shared" si="192"/>
        <v>1.5151515151515151</v>
      </c>
      <c r="I360" s="142">
        <f>G360/E360</f>
        <v>1</v>
      </c>
      <c r="J360" s="450" t="s">
        <v>41</v>
      </c>
      <c r="K360" s="450" t="s">
        <v>41</v>
      </c>
      <c r="L360" s="135" t="s">
        <v>690</v>
      </c>
      <c r="M360" s="40">
        <v>1</v>
      </c>
      <c r="N360" s="41">
        <f t="shared" si="193"/>
        <v>1</v>
      </c>
      <c r="O360" s="41">
        <f t="shared" si="194"/>
        <v>1</v>
      </c>
      <c r="AC360" s="67">
        <f t="shared" si="175"/>
        <v>1.5151515151515151</v>
      </c>
      <c r="AD360" s="67">
        <f t="shared" si="177"/>
        <v>1</v>
      </c>
    </row>
    <row r="361" spans="1:37" ht="67.5" outlineLevel="2" x14ac:dyDescent="0.25">
      <c r="A361" s="262" t="s">
        <v>531</v>
      </c>
      <c r="B361" s="453" t="s">
        <v>1584</v>
      </c>
      <c r="C361" s="167" t="s">
        <v>1588</v>
      </c>
      <c r="D361" s="272" t="s">
        <v>319</v>
      </c>
      <c r="E361" s="167">
        <v>72.73</v>
      </c>
      <c r="F361" s="167">
        <v>30</v>
      </c>
      <c r="G361" s="167">
        <v>71.400000000000006</v>
      </c>
      <c r="H361" s="142">
        <f t="shared" si="192"/>
        <v>2.3800000000000003</v>
      </c>
      <c r="I361" s="142">
        <f>G361/E361</f>
        <v>0.98171318575553423</v>
      </c>
      <c r="J361" s="450" t="s">
        <v>41</v>
      </c>
      <c r="K361" s="450" t="s">
        <v>41</v>
      </c>
      <c r="L361" s="135" t="s">
        <v>690</v>
      </c>
      <c r="M361" s="40">
        <v>1</v>
      </c>
      <c r="N361" s="41">
        <f t="shared" si="193"/>
        <v>1</v>
      </c>
      <c r="O361" s="41">
        <f t="shared" si="194"/>
        <v>0.98171318575553423</v>
      </c>
      <c r="AC361" s="67">
        <f t="shared" si="175"/>
        <v>2.3800000000000003</v>
      </c>
      <c r="AD361" s="67">
        <f t="shared" si="177"/>
        <v>0.98171318575553423</v>
      </c>
    </row>
    <row r="362" spans="1:37" ht="67.5" outlineLevel="2" x14ac:dyDescent="0.25">
      <c r="A362" s="262" t="s">
        <v>1839</v>
      </c>
      <c r="B362" s="453" t="s">
        <v>1585</v>
      </c>
      <c r="C362" s="167" t="s">
        <v>1588</v>
      </c>
      <c r="D362" s="272" t="s">
        <v>319</v>
      </c>
      <c r="E362" s="167">
        <v>50</v>
      </c>
      <c r="F362" s="167">
        <v>20</v>
      </c>
      <c r="G362" s="167">
        <v>100</v>
      </c>
      <c r="H362" s="142">
        <f>G362/F362</f>
        <v>5</v>
      </c>
      <c r="I362" s="286">
        <f t="shared" ref="I362:I363" si="195">G362/E362</f>
        <v>2</v>
      </c>
      <c r="J362" s="450" t="s">
        <v>41</v>
      </c>
      <c r="K362" s="450"/>
      <c r="L362" s="136" t="s">
        <v>690</v>
      </c>
      <c r="M362" s="40">
        <v>1</v>
      </c>
      <c r="N362" s="41">
        <f t="shared" si="193"/>
        <v>1</v>
      </c>
      <c r="O362" s="41">
        <f t="shared" si="194"/>
        <v>1.25</v>
      </c>
      <c r="AC362" s="67">
        <f t="shared" si="175"/>
        <v>5</v>
      </c>
      <c r="AD362" s="67">
        <f t="shared" si="177"/>
        <v>2</v>
      </c>
    </row>
    <row r="363" spans="1:37" ht="67.5" outlineLevel="2" x14ac:dyDescent="0.25">
      <c r="A363" s="262" t="s">
        <v>1349</v>
      </c>
      <c r="B363" s="453" t="s">
        <v>1246</v>
      </c>
      <c r="C363" s="167" t="s">
        <v>1589</v>
      </c>
      <c r="D363" s="272" t="s">
        <v>319</v>
      </c>
      <c r="E363" s="167">
        <v>0.18890000000000001</v>
      </c>
      <c r="F363" s="167">
        <v>0.44340000000000002</v>
      </c>
      <c r="G363" s="167">
        <v>0.49</v>
      </c>
      <c r="H363" s="142">
        <f>G363/F363</f>
        <v>1.1050969778980604</v>
      </c>
      <c r="I363" s="286">
        <f t="shared" si="195"/>
        <v>2.5939650608787717</v>
      </c>
      <c r="J363" s="450" t="s">
        <v>41</v>
      </c>
      <c r="K363" s="450" t="s">
        <v>41</v>
      </c>
      <c r="L363" s="136" t="s">
        <v>690</v>
      </c>
      <c r="M363" s="40">
        <v>1</v>
      </c>
      <c r="N363" s="41">
        <f t="shared" si="193"/>
        <v>1</v>
      </c>
      <c r="O363" s="41">
        <f t="shared" si="194"/>
        <v>1.25</v>
      </c>
      <c r="AC363" s="67">
        <f t="shared" si="175"/>
        <v>1.1050969778980604</v>
      </c>
      <c r="AD363" s="67">
        <f t="shared" si="177"/>
        <v>2.5939650608787717</v>
      </c>
    </row>
    <row r="364" spans="1:37" ht="67.5" outlineLevel="2" x14ac:dyDescent="0.25">
      <c r="A364" s="262" t="s">
        <v>535</v>
      </c>
      <c r="B364" s="453" t="s">
        <v>1586</v>
      </c>
      <c r="C364" s="167" t="s">
        <v>1588</v>
      </c>
      <c r="D364" s="272" t="s">
        <v>319</v>
      </c>
      <c r="E364" s="167" t="s">
        <v>41</v>
      </c>
      <c r="F364" s="167">
        <v>68.007800000000003</v>
      </c>
      <c r="G364" s="167">
        <v>74.622</v>
      </c>
      <c r="H364" s="142">
        <f t="shared" si="192"/>
        <v>1.0972564911671896</v>
      </c>
      <c r="I364" s="142" t="s">
        <v>41</v>
      </c>
      <c r="J364" s="450" t="s">
        <v>41</v>
      </c>
      <c r="K364" s="450" t="s">
        <v>41</v>
      </c>
      <c r="L364" s="136" t="s">
        <v>690</v>
      </c>
      <c r="M364" s="40">
        <v>1</v>
      </c>
      <c r="N364" s="41">
        <f t="shared" si="193"/>
        <v>1</v>
      </c>
      <c r="O364" s="41" t="s">
        <v>41</v>
      </c>
      <c r="AC364" s="67">
        <f t="shared" si="175"/>
        <v>1.0972564911671896</v>
      </c>
      <c r="AD364" s="67" t="str">
        <f t="shared" si="177"/>
        <v>-</v>
      </c>
    </row>
    <row r="365" spans="1:37" ht="67.5" outlineLevel="2" x14ac:dyDescent="0.25">
      <c r="A365" s="262" t="s">
        <v>1840</v>
      </c>
      <c r="B365" s="453" t="s">
        <v>1587</v>
      </c>
      <c r="C365" s="167" t="s">
        <v>343</v>
      </c>
      <c r="D365" s="171" t="s">
        <v>339</v>
      </c>
      <c r="E365" s="167" t="s">
        <v>41</v>
      </c>
      <c r="F365" s="167">
        <v>1</v>
      </c>
      <c r="G365" s="167">
        <v>1</v>
      </c>
      <c r="H365" s="142">
        <f t="shared" si="192"/>
        <v>1</v>
      </c>
      <c r="I365" s="142" t="s">
        <v>41</v>
      </c>
      <c r="J365" s="450" t="s">
        <v>41</v>
      </c>
      <c r="K365" s="450" t="s">
        <v>41</v>
      </c>
      <c r="L365" s="136" t="s">
        <v>690</v>
      </c>
      <c r="M365" s="40">
        <v>0</v>
      </c>
      <c r="N365" s="41">
        <f t="shared" si="193"/>
        <v>1</v>
      </c>
      <c r="O365" s="41" t="s">
        <v>41</v>
      </c>
      <c r="AC365" s="67">
        <f t="shared" si="175"/>
        <v>1</v>
      </c>
      <c r="AD365" s="67" t="str">
        <f t="shared" si="177"/>
        <v>-</v>
      </c>
    </row>
    <row r="366" spans="1:37" s="47" customFormat="1" ht="25.5" customHeight="1" outlineLevel="1" x14ac:dyDescent="0.25">
      <c r="A366" s="68" t="s">
        <v>159</v>
      </c>
      <c r="B366" s="572" t="s">
        <v>570</v>
      </c>
      <c r="C366" s="573"/>
      <c r="D366" s="573"/>
      <c r="E366" s="573"/>
      <c r="F366" s="573"/>
      <c r="G366" s="574"/>
      <c r="H366" s="69">
        <f>AVERAGE(N367:N373)</f>
        <v>0.9983948635634029</v>
      </c>
      <c r="I366" s="69">
        <v>1</v>
      </c>
      <c r="J366" s="70"/>
      <c r="K366" s="70"/>
      <c r="L366" s="71"/>
      <c r="M366" s="40"/>
      <c r="N366" s="212"/>
      <c r="O366" s="212"/>
      <c r="P366" s="49"/>
      <c r="Q366" s="49"/>
      <c r="R366" s="104">
        <f>COUNTA(C367:C373)</f>
        <v>7</v>
      </c>
      <c r="S366" s="103">
        <v>0</v>
      </c>
      <c r="T366" s="104">
        <f>COUNTIFS(AC367:AC373,"&gt;1,50")</f>
        <v>1</v>
      </c>
      <c r="U366" s="104">
        <f>COUNTIFS(AC367:AC373,"&gt;=0,995",AC367:AC373,"&lt;=1,5")</f>
        <v>5</v>
      </c>
      <c r="V366" s="104">
        <f>COUNTIFS(AC367:AC373,"&gt;=0,85",AC367:AC373,"&lt;0,995")</f>
        <v>1</v>
      </c>
      <c r="W366" s="104">
        <f>COUNTIFS(AC367:AC373,"&lt;0,85")</f>
        <v>0</v>
      </c>
      <c r="X366" s="52"/>
      <c r="Z366" s="96">
        <f>COUNTIFS(AD367:AD373,"&gt;=1,01")</f>
        <v>0</v>
      </c>
      <c r="AA366" s="96">
        <f>COUNTIFS(AD367:AD373,"&gt;=0,99",AD367:AD373,"&lt;1,01")</f>
        <v>0</v>
      </c>
      <c r="AB366" s="97">
        <f>COUNTIFS(AD367:AD373,"&lt;0,99")</f>
        <v>0</v>
      </c>
      <c r="AC366" s="67"/>
      <c r="AD366" s="67"/>
      <c r="AK366" s="47">
        <f>SUM(T366:X366)-R366</f>
        <v>0</v>
      </c>
    </row>
    <row r="367" spans="1:37" ht="67.5" outlineLevel="2" x14ac:dyDescent="0.25">
      <c r="A367" s="262" t="s">
        <v>537</v>
      </c>
      <c r="B367" s="453" t="s">
        <v>572</v>
      </c>
      <c r="C367" s="452" t="s">
        <v>321</v>
      </c>
      <c r="D367" s="139" t="s">
        <v>339</v>
      </c>
      <c r="E367" s="167">
        <v>100</v>
      </c>
      <c r="F367" s="167">
        <v>100</v>
      </c>
      <c r="G367" s="167">
        <v>100</v>
      </c>
      <c r="H367" s="142">
        <f t="shared" ref="H367" si="196">G367/F367</f>
        <v>1</v>
      </c>
      <c r="I367" s="142" t="s">
        <v>41</v>
      </c>
      <c r="J367" s="450" t="s">
        <v>41</v>
      </c>
      <c r="K367" s="450" t="s">
        <v>41</v>
      </c>
      <c r="L367" s="142" t="s">
        <v>690</v>
      </c>
      <c r="M367" s="40">
        <v>0</v>
      </c>
      <c r="N367" s="41">
        <f t="shared" ref="N367:N373" si="197">IF(H367&gt;1,1,H367)</f>
        <v>1</v>
      </c>
      <c r="O367" s="41" t="s">
        <v>41</v>
      </c>
      <c r="AC367" s="67">
        <f t="shared" si="175"/>
        <v>1</v>
      </c>
      <c r="AD367" s="67" t="str">
        <f t="shared" si="177"/>
        <v>-</v>
      </c>
    </row>
    <row r="368" spans="1:37" ht="67.5" outlineLevel="2" x14ac:dyDescent="0.25">
      <c r="A368" s="262" t="s">
        <v>1841</v>
      </c>
      <c r="B368" s="453" t="s">
        <v>574</v>
      </c>
      <c r="C368" s="452" t="s">
        <v>575</v>
      </c>
      <c r="D368" s="139" t="s">
        <v>339</v>
      </c>
      <c r="E368" s="167">
        <v>106.2</v>
      </c>
      <c r="F368" s="167">
        <v>70</v>
      </c>
      <c r="G368" s="167">
        <v>120.2</v>
      </c>
      <c r="H368" s="142">
        <f>G368/F368</f>
        <v>1.7171428571428571</v>
      </c>
      <c r="I368" s="286" t="s">
        <v>41</v>
      </c>
      <c r="J368" s="450" t="s">
        <v>41</v>
      </c>
      <c r="K368" s="450" t="s">
        <v>41</v>
      </c>
      <c r="L368" s="142" t="s">
        <v>690</v>
      </c>
      <c r="M368" s="40">
        <v>0</v>
      </c>
      <c r="N368" s="41">
        <f t="shared" si="197"/>
        <v>1</v>
      </c>
      <c r="O368" s="41" t="s">
        <v>41</v>
      </c>
      <c r="AC368" s="67">
        <f t="shared" si="175"/>
        <v>1.7171428571428571</v>
      </c>
      <c r="AD368" s="67" t="str">
        <f t="shared" si="177"/>
        <v>-</v>
      </c>
    </row>
    <row r="369" spans="1:37" ht="67.5" outlineLevel="2" x14ac:dyDescent="0.25">
      <c r="A369" s="262" t="s">
        <v>539</v>
      </c>
      <c r="B369" s="453" t="s">
        <v>1591</v>
      </c>
      <c r="C369" s="452" t="s">
        <v>576</v>
      </c>
      <c r="D369" s="137" t="s">
        <v>339</v>
      </c>
      <c r="E369" s="167"/>
      <c r="F369" s="167">
        <v>44.5</v>
      </c>
      <c r="G369" s="167">
        <v>44</v>
      </c>
      <c r="H369" s="142">
        <f t="shared" ref="H369" si="198">G369/F369</f>
        <v>0.9887640449438202</v>
      </c>
      <c r="I369" s="286" t="s">
        <v>41</v>
      </c>
      <c r="J369" s="450" t="s">
        <v>1247</v>
      </c>
      <c r="K369" s="450" t="s">
        <v>41</v>
      </c>
      <c r="L369" s="142" t="s">
        <v>690</v>
      </c>
      <c r="M369" s="40">
        <v>0</v>
      </c>
      <c r="N369" s="41">
        <f t="shared" si="197"/>
        <v>0.9887640449438202</v>
      </c>
      <c r="O369" s="41" t="s">
        <v>41</v>
      </c>
      <c r="AC369" s="67">
        <f t="shared" si="175"/>
        <v>0.9887640449438202</v>
      </c>
      <c r="AD369" s="67" t="str">
        <f t="shared" si="177"/>
        <v>-</v>
      </c>
    </row>
    <row r="370" spans="1:37" ht="67.5" outlineLevel="2" x14ac:dyDescent="0.25">
      <c r="A370" s="262" t="s">
        <v>948</v>
      </c>
      <c r="B370" s="453" t="s">
        <v>578</v>
      </c>
      <c r="C370" s="452" t="s">
        <v>575</v>
      </c>
      <c r="D370" s="137" t="s">
        <v>339</v>
      </c>
      <c r="E370" s="167">
        <v>9.3699999999999992</v>
      </c>
      <c r="F370" s="167">
        <v>8.5</v>
      </c>
      <c r="G370" s="167">
        <v>11.52</v>
      </c>
      <c r="H370" s="142">
        <f>G370/F370</f>
        <v>1.3552941176470588</v>
      </c>
      <c r="I370" s="286" t="s">
        <v>41</v>
      </c>
      <c r="J370" s="450" t="s">
        <v>41</v>
      </c>
      <c r="K370" s="450" t="s">
        <v>41</v>
      </c>
      <c r="L370" s="142" t="s">
        <v>690</v>
      </c>
      <c r="M370" s="40">
        <v>0</v>
      </c>
      <c r="N370" s="41">
        <f t="shared" si="197"/>
        <v>1</v>
      </c>
      <c r="O370" s="41" t="s">
        <v>41</v>
      </c>
      <c r="AC370" s="67">
        <f t="shared" si="175"/>
        <v>1.3552941176470588</v>
      </c>
      <c r="AD370" s="67" t="str">
        <f t="shared" si="177"/>
        <v>-</v>
      </c>
    </row>
    <row r="371" spans="1:37" ht="67.5" outlineLevel="2" x14ac:dyDescent="0.25">
      <c r="A371" s="262" t="s">
        <v>949</v>
      </c>
      <c r="B371" s="453" t="s">
        <v>579</v>
      </c>
      <c r="C371" s="452" t="s">
        <v>327</v>
      </c>
      <c r="D371" s="137" t="s">
        <v>339</v>
      </c>
      <c r="E371" s="167">
        <v>4455</v>
      </c>
      <c r="F371" s="167">
        <v>4100</v>
      </c>
      <c r="G371" s="167">
        <v>4594</v>
      </c>
      <c r="H371" s="142">
        <f>G371/F371</f>
        <v>1.1204878048780489</v>
      </c>
      <c r="I371" s="286" t="s">
        <v>41</v>
      </c>
      <c r="J371" s="450" t="s">
        <v>41</v>
      </c>
      <c r="K371" s="450" t="s">
        <v>41</v>
      </c>
      <c r="L371" s="142" t="s">
        <v>690</v>
      </c>
      <c r="M371" s="40">
        <v>0</v>
      </c>
      <c r="N371" s="41">
        <f t="shared" si="197"/>
        <v>1</v>
      </c>
      <c r="O371" s="41" t="s">
        <v>41</v>
      </c>
      <c r="AC371" s="67">
        <f t="shared" si="175"/>
        <v>1.1204878048780489</v>
      </c>
      <c r="AD371" s="67" t="str">
        <f t="shared" si="177"/>
        <v>-</v>
      </c>
    </row>
    <row r="372" spans="1:37" ht="67.5" outlineLevel="2" x14ac:dyDescent="0.25">
      <c r="A372" s="262" t="s">
        <v>950</v>
      </c>
      <c r="B372" s="453" t="s">
        <v>580</v>
      </c>
      <c r="C372" s="452" t="s">
        <v>327</v>
      </c>
      <c r="D372" s="450" t="s">
        <v>339</v>
      </c>
      <c r="E372" s="167">
        <v>6602</v>
      </c>
      <c r="F372" s="167">
        <v>5600</v>
      </c>
      <c r="G372" s="167">
        <v>5714</v>
      </c>
      <c r="H372" s="142">
        <f>G372/F372</f>
        <v>1.020357142857143</v>
      </c>
      <c r="I372" s="342" t="s">
        <v>41</v>
      </c>
      <c r="J372" s="450" t="s">
        <v>1247</v>
      </c>
      <c r="K372" s="450" t="s">
        <v>41</v>
      </c>
      <c r="L372" s="142" t="s">
        <v>690</v>
      </c>
      <c r="M372" s="40">
        <v>0</v>
      </c>
      <c r="N372" s="41">
        <f t="shared" ref="N372" si="199">IF(H372&gt;1,1,H372)</f>
        <v>1</v>
      </c>
      <c r="O372" s="41" t="s">
        <v>41</v>
      </c>
      <c r="AC372" s="67">
        <f t="shared" ref="AC372" si="200">H372</f>
        <v>1.020357142857143</v>
      </c>
      <c r="AD372" s="67" t="str">
        <f t="shared" ref="AD372" si="201">I372</f>
        <v>-</v>
      </c>
    </row>
    <row r="373" spans="1:37" ht="67.5" outlineLevel="2" x14ac:dyDescent="0.25">
      <c r="A373" s="262" t="s">
        <v>951</v>
      </c>
      <c r="B373" s="453" t="s">
        <v>581</v>
      </c>
      <c r="C373" s="452" t="s">
        <v>576</v>
      </c>
      <c r="D373" s="137" t="s">
        <v>339</v>
      </c>
      <c r="E373" s="167">
        <v>14.8</v>
      </c>
      <c r="F373" s="167">
        <v>14.9</v>
      </c>
      <c r="G373" s="167">
        <v>16.899999999999999</v>
      </c>
      <c r="H373" s="142">
        <f>G373/F373</f>
        <v>1.1342281879194629</v>
      </c>
      <c r="I373" s="342" t="s">
        <v>41</v>
      </c>
      <c r="J373" s="450" t="s">
        <v>1247</v>
      </c>
      <c r="K373" s="450" t="s">
        <v>41</v>
      </c>
      <c r="L373" s="142" t="s">
        <v>690</v>
      </c>
      <c r="M373" s="40">
        <v>0</v>
      </c>
      <c r="N373" s="41">
        <f t="shared" si="197"/>
        <v>1</v>
      </c>
      <c r="O373" s="41" t="s">
        <v>41</v>
      </c>
      <c r="AC373" s="67">
        <f t="shared" si="175"/>
        <v>1.1342281879194629</v>
      </c>
      <c r="AD373" s="67" t="str">
        <f t="shared" si="177"/>
        <v>-</v>
      </c>
    </row>
    <row r="374" spans="1:37" s="47" customFormat="1" ht="26.25" customHeight="1" outlineLevel="1" x14ac:dyDescent="0.25">
      <c r="A374" s="68" t="s">
        <v>160</v>
      </c>
      <c r="B374" s="571" t="s">
        <v>582</v>
      </c>
      <c r="C374" s="571"/>
      <c r="D374" s="571"/>
      <c r="E374" s="571"/>
      <c r="F374" s="571"/>
      <c r="G374" s="571"/>
      <c r="H374" s="69">
        <f>AVERAGE(N375:N380)</f>
        <v>0.91972881322271371</v>
      </c>
      <c r="I374" s="69">
        <f>AVERAGE(O375:O380)</f>
        <v>0.93197575252932019</v>
      </c>
      <c r="J374" s="70"/>
      <c r="K374" s="70"/>
      <c r="L374" s="71"/>
      <c r="M374" s="40"/>
      <c r="N374" s="212"/>
      <c r="O374" s="212"/>
      <c r="P374" s="49"/>
      <c r="Q374" s="49"/>
      <c r="R374" s="104">
        <f>COUNTA(C375:C380)</f>
        <v>6</v>
      </c>
      <c r="S374" s="103">
        <v>0</v>
      </c>
      <c r="T374" s="104">
        <f>COUNTIFS(AC375:AC380,"&gt;1,50")</f>
        <v>2</v>
      </c>
      <c r="U374" s="104">
        <f>COUNTIFS(AC375:AC380,"&gt;=0,995",AC375:AC380,"&lt;=1,5")</f>
        <v>2</v>
      </c>
      <c r="V374" s="104">
        <f>COUNTIFS(AC375:AC380,"&gt;=0,85",AC375:AC380,"&lt;0,995")</f>
        <v>0</v>
      </c>
      <c r="W374" s="104">
        <f>COUNTIFS(AC375:AC380,"&lt;0,85")</f>
        <v>2</v>
      </c>
      <c r="X374" s="52"/>
      <c r="Z374" s="96">
        <f>COUNTIFS(AD375:AD380,"&gt;=1,01")</f>
        <v>0</v>
      </c>
      <c r="AA374" s="96">
        <f>COUNTIFS(AD375:AD380,"&gt;=0,99",AD375:AD380,"&lt;1,01")</f>
        <v>2</v>
      </c>
      <c r="AB374" s="97">
        <f>COUNTIFS(AD375:AD380,"&lt;0,99")</f>
        <v>3</v>
      </c>
      <c r="AC374" s="67"/>
      <c r="AD374" s="67"/>
      <c r="AK374" s="47">
        <f>SUM(T374:X374)-R374</f>
        <v>0</v>
      </c>
    </row>
    <row r="375" spans="1:37" ht="67.5" outlineLevel="2" x14ac:dyDescent="0.25">
      <c r="A375" s="262" t="s">
        <v>540</v>
      </c>
      <c r="B375" s="453" t="s">
        <v>584</v>
      </c>
      <c r="C375" s="242" t="s">
        <v>343</v>
      </c>
      <c r="D375" s="280" t="s">
        <v>302</v>
      </c>
      <c r="E375" s="167">
        <v>77</v>
      </c>
      <c r="F375" s="167">
        <v>88</v>
      </c>
      <c r="G375" s="167">
        <v>82</v>
      </c>
      <c r="H375" s="142">
        <f>F375/G375</f>
        <v>1.0731707317073171</v>
      </c>
      <c r="I375" s="142">
        <f>E375/G375</f>
        <v>0.93902439024390238</v>
      </c>
      <c r="J375" s="450" t="s">
        <v>41</v>
      </c>
      <c r="K375" s="450" t="s">
        <v>41</v>
      </c>
      <c r="L375" s="137" t="s">
        <v>690</v>
      </c>
      <c r="M375" s="40">
        <v>-1</v>
      </c>
      <c r="N375" s="41">
        <f t="shared" ref="N375:N377" si="202">IF(H375&gt;1,1,H375)</f>
        <v>1</v>
      </c>
      <c r="O375" s="41">
        <f t="shared" ref="O375:O424" si="203">IF(I375&gt;1.25,1.25,I375)</f>
        <v>0.93902439024390238</v>
      </c>
      <c r="AC375" s="67">
        <f t="shared" si="175"/>
        <v>1.0731707317073171</v>
      </c>
      <c r="AD375" s="67">
        <f t="shared" si="177"/>
        <v>0.93902439024390238</v>
      </c>
    </row>
    <row r="376" spans="1:37" ht="67.5" outlineLevel="2" x14ac:dyDescent="0.25">
      <c r="A376" s="262" t="s">
        <v>541</v>
      </c>
      <c r="B376" s="453" t="s">
        <v>586</v>
      </c>
      <c r="C376" s="242" t="s">
        <v>343</v>
      </c>
      <c r="D376" s="280" t="s">
        <v>302</v>
      </c>
      <c r="E376" s="167">
        <v>42</v>
      </c>
      <c r="F376" s="167">
        <v>72</v>
      </c>
      <c r="G376" s="167">
        <v>42</v>
      </c>
      <c r="H376" s="142">
        <f>F376/G376</f>
        <v>1.7142857142857142</v>
      </c>
      <c r="I376" s="142">
        <f>E376/G376</f>
        <v>1</v>
      </c>
      <c r="J376" s="450" t="s">
        <v>41</v>
      </c>
      <c r="K376" s="450" t="s">
        <v>41</v>
      </c>
      <c r="L376" s="137" t="s">
        <v>690</v>
      </c>
      <c r="M376" s="40">
        <v>-1</v>
      </c>
      <c r="N376" s="41">
        <f t="shared" si="202"/>
        <v>1</v>
      </c>
      <c r="O376" s="41">
        <f t="shared" si="203"/>
        <v>1</v>
      </c>
      <c r="AC376" s="67">
        <f t="shared" si="175"/>
        <v>1.7142857142857142</v>
      </c>
      <c r="AD376" s="67">
        <f t="shared" si="177"/>
        <v>1</v>
      </c>
    </row>
    <row r="377" spans="1:37" ht="67.5" outlineLevel="2" x14ac:dyDescent="0.25">
      <c r="A377" s="262" t="s">
        <v>542</v>
      </c>
      <c r="B377" s="453" t="s">
        <v>587</v>
      </c>
      <c r="C377" s="452" t="s">
        <v>321</v>
      </c>
      <c r="D377" s="450" t="s">
        <v>339</v>
      </c>
      <c r="E377" s="167">
        <v>84</v>
      </c>
      <c r="F377" s="167">
        <v>50</v>
      </c>
      <c r="G377" s="167">
        <v>92.4</v>
      </c>
      <c r="H377" s="142">
        <f>G377/F377</f>
        <v>1.8480000000000001</v>
      </c>
      <c r="I377" s="142">
        <f>G377/E377</f>
        <v>1.1000000000000001</v>
      </c>
      <c r="J377" s="450" t="s">
        <v>41</v>
      </c>
      <c r="K377" s="450" t="s">
        <v>41</v>
      </c>
      <c r="L377" s="137" t="s">
        <v>690</v>
      </c>
      <c r="M377" s="40">
        <v>0</v>
      </c>
      <c r="N377" s="41">
        <f t="shared" si="202"/>
        <v>1</v>
      </c>
      <c r="O377" s="41" t="s">
        <v>41</v>
      </c>
      <c r="AC377" s="67">
        <f t="shared" si="175"/>
        <v>1.8480000000000001</v>
      </c>
      <c r="AD377" s="67" t="s">
        <v>41</v>
      </c>
    </row>
    <row r="378" spans="1:37" ht="67.5" outlineLevel="2" x14ac:dyDescent="0.25">
      <c r="A378" s="262" t="s">
        <v>544</v>
      </c>
      <c r="B378" s="453" t="s">
        <v>589</v>
      </c>
      <c r="C378" s="452" t="s">
        <v>321</v>
      </c>
      <c r="D378" s="272" t="s">
        <v>319</v>
      </c>
      <c r="E378" s="167">
        <v>100</v>
      </c>
      <c r="F378" s="167">
        <v>100</v>
      </c>
      <c r="G378" s="167">
        <v>100</v>
      </c>
      <c r="H378" s="142">
        <f>G378/F378</f>
        <v>1</v>
      </c>
      <c r="I378" s="142">
        <f>G378/E378</f>
        <v>1</v>
      </c>
      <c r="J378" s="450" t="s">
        <v>41</v>
      </c>
      <c r="K378" s="450" t="s">
        <v>41</v>
      </c>
      <c r="L378" s="137" t="s">
        <v>690</v>
      </c>
      <c r="M378" s="40">
        <v>1</v>
      </c>
      <c r="N378" s="41">
        <f t="shared" ref="N378:N380" si="204">IF(H378&gt;1,1,H378)</f>
        <v>1</v>
      </c>
      <c r="O378" s="41">
        <f t="shared" ref="O378:O380" si="205">IF(I378&gt;1.25,1.25,I378)</f>
        <v>1</v>
      </c>
      <c r="AC378" s="67">
        <f t="shared" si="175"/>
        <v>1</v>
      </c>
      <c r="AD378" s="67">
        <f t="shared" si="177"/>
        <v>1</v>
      </c>
    </row>
    <row r="379" spans="1:37" ht="67.5" outlineLevel="2" x14ac:dyDescent="0.25">
      <c r="A379" s="262" t="s">
        <v>545</v>
      </c>
      <c r="B379" s="453" t="s">
        <v>590</v>
      </c>
      <c r="C379" s="452" t="s">
        <v>343</v>
      </c>
      <c r="D379" s="280" t="s">
        <v>302</v>
      </c>
      <c r="E379" s="167">
        <v>7.86</v>
      </c>
      <c r="F379" s="167">
        <v>7.3</v>
      </c>
      <c r="G379" s="167">
        <v>9.73</v>
      </c>
      <c r="H379" s="142">
        <f>F379/G379</f>
        <v>0.75025693730729692</v>
      </c>
      <c r="I379" s="142">
        <f>E379/G379</f>
        <v>0.80781089414182938</v>
      </c>
      <c r="J379" s="450" t="s">
        <v>1247</v>
      </c>
      <c r="K379" s="450" t="s">
        <v>41</v>
      </c>
      <c r="L379" s="137" t="s">
        <v>690</v>
      </c>
      <c r="M379" s="40">
        <v>-1</v>
      </c>
      <c r="N379" s="41">
        <f t="shared" si="204"/>
        <v>0.75025693730729692</v>
      </c>
      <c r="O379" s="41">
        <f t="shared" si="205"/>
        <v>0.80781089414182938</v>
      </c>
      <c r="AC379" s="67">
        <f t="shared" si="175"/>
        <v>0.75025693730729692</v>
      </c>
      <c r="AD379" s="67">
        <f t="shared" si="177"/>
        <v>0.80781089414182938</v>
      </c>
    </row>
    <row r="380" spans="1:37" ht="67.5" outlineLevel="2" x14ac:dyDescent="0.25">
      <c r="A380" s="262" t="s">
        <v>546</v>
      </c>
      <c r="B380" s="453" t="s">
        <v>1593</v>
      </c>
      <c r="C380" s="452" t="s">
        <v>343</v>
      </c>
      <c r="D380" s="280" t="s">
        <v>302</v>
      </c>
      <c r="E380" s="167">
        <v>1.89</v>
      </c>
      <c r="F380" s="167">
        <v>1.59</v>
      </c>
      <c r="G380" s="167">
        <v>2.0699999999999998</v>
      </c>
      <c r="H380" s="142">
        <f>F380/G380</f>
        <v>0.76811594202898559</v>
      </c>
      <c r="I380" s="142">
        <f>E380/G380</f>
        <v>0.91304347826086962</v>
      </c>
      <c r="J380" s="450" t="s">
        <v>1247</v>
      </c>
      <c r="K380" s="450" t="s">
        <v>41</v>
      </c>
      <c r="L380" s="137" t="s">
        <v>690</v>
      </c>
      <c r="M380" s="40">
        <v>-1</v>
      </c>
      <c r="N380" s="41">
        <f t="shared" si="204"/>
        <v>0.76811594202898559</v>
      </c>
      <c r="O380" s="41">
        <f t="shared" si="205"/>
        <v>0.91304347826086962</v>
      </c>
      <c r="AC380" s="67">
        <f t="shared" si="175"/>
        <v>0.76811594202898559</v>
      </c>
      <c r="AD380" s="67">
        <f t="shared" si="177"/>
        <v>0.91304347826086962</v>
      </c>
    </row>
    <row r="381" spans="1:37" s="47" customFormat="1" ht="24.75" customHeight="1" x14ac:dyDescent="0.25">
      <c r="A381" s="493" t="s">
        <v>162</v>
      </c>
      <c r="B381" s="577" t="s">
        <v>957</v>
      </c>
      <c r="C381" s="577"/>
      <c r="D381" s="577"/>
      <c r="E381" s="577"/>
      <c r="F381" s="577"/>
      <c r="G381" s="577"/>
      <c r="H381" s="494">
        <f>AVERAGE(N382:N385,N387:N395,N397:N400,N402:N404,N406:N408)</f>
        <v>0.8666666666666667</v>
      </c>
      <c r="I381" s="494">
        <f>AVERAGE(O382:O385,O387:O395,O397:O400,O402:O404,O406:O408)</f>
        <v>1.1198316022010395</v>
      </c>
      <c r="J381" s="495"/>
      <c r="K381" s="495"/>
      <c r="L381" s="496"/>
      <c r="M381" s="64"/>
      <c r="N381" s="41"/>
      <c r="O381" s="41"/>
      <c r="P381" s="49"/>
      <c r="Q381" s="49"/>
      <c r="R381" s="110">
        <f>COUNTA(C382:C408)</f>
        <v>23</v>
      </c>
      <c r="S381" s="102">
        <f>R381-T381-U381-V381-W381</f>
        <v>8</v>
      </c>
      <c r="T381" s="110">
        <f>COUNTIFS(AC382:AC408,"&gt;1,50")</f>
        <v>1</v>
      </c>
      <c r="U381" s="110">
        <f>COUNTIFS(AC382:AC408,"&gt;=0,995",AC382:AC408,"&lt;=1,5")</f>
        <v>12</v>
      </c>
      <c r="V381" s="110">
        <f>COUNTIFS(AC382:AC408,"&gt;=0,85",AC382:AC408,"&lt;0,995")</f>
        <v>0</v>
      </c>
      <c r="W381" s="110">
        <f>COUNTIFS(AC382:AC408,"&lt;0,85")</f>
        <v>2</v>
      </c>
      <c r="X381" s="49"/>
      <c r="Z381" s="100">
        <f>COUNTIFS(AD382:AD408,"&gt;=1,01")</f>
        <v>1</v>
      </c>
      <c r="AA381" s="100">
        <f>COUNTIFS(AD382:AD408,"&gt;=0,99",AD382:AD408,"&lt;1,01")</f>
        <v>0</v>
      </c>
      <c r="AB381" s="101">
        <f>COUNTIFS(AD382:AD408,"&lt;0,99")</f>
        <v>0</v>
      </c>
      <c r="AC381" s="67"/>
      <c r="AD381" s="67"/>
      <c r="AK381" s="47">
        <f>SUM(T381:X381)-R381</f>
        <v>-8</v>
      </c>
    </row>
    <row r="382" spans="1:37" ht="236.25" outlineLevel="2" x14ac:dyDescent="0.25">
      <c r="A382" s="262" t="s">
        <v>554</v>
      </c>
      <c r="B382" s="161" t="s">
        <v>958</v>
      </c>
      <c r="C382" s="241" t="s">
        <v>321</v>
      </c>
      <c r="D382" s="272" t="s">
        <v>319</v>
      </c>
      <c r="E382" s="167">
        <v>95.9</v>
      </c>
      <c r="F382" s="167">
        <v>99.8</v>
      </c>
      <c r="G382" s="167">
        <v>93.6</v>
      </c>
      <c r="H382" s="286">
        <f>G382/F382</f>
        <v>0.93787575150300595</v>
      </c>
      <c r="I382" s="286">
        <f t="shared" ref="I382:I385" si="206">G382/E382</f>
        <v>0.97601668404588104</v>
      </c>
      <c r="J382" s="142" t="s">
        <v>1375</v>
      </c>
      <c r="K382" s="142" t="s">
        <v>1376</v>
      </c>
      <c r="L382" s="39" t="s">
        <v>962</v>
      </c>
      <c r="M382" s="40">
        <v>1</v>
      </c>
      <c r="N382" s="41" t="s">
        <v>41</v>
      </c>
      <c r="O382" s="41">
        <f t="shared" si="203"/>
        <v>0.97601668404588104</v>
      </c>
      <c r="AC382" s="67" t="s">
        <v>41</v>
      </c>
      <c r="AD382" s="67" t="s">
        <v>41</v>
      </c>
    </row>
    <row r="383" spans="1:37" ht="111.75" customHeight="1" outlineLevel="2" x14ac:dyDescent="0.25">
      <c r="A383" s="262" t="s">
        <v>555</v>
      </c>
      <c r="B383" s="161" t="s">
        <v>959</v>
      </c>
      <c r="C383" s="241" t="s">
        <v>960</v>
      </c>
      <c r="D383" s="272" t="s">
        <v>319</v>
      </c>
      <c r="E383" s="167">
        <v>193.1</v>
      </c>
      <c r="F383" s="167">
        <v>187</v>
      </c>
      <c r="G383" s="167">
        <v>213.2</v>
      </c>
      <c r="H383" s="286">
        <f t="shared" ref="H383:H385" si="207">G383/F383</f>
        <v>1.1401069518716578</v>
      </c>
      <c r="I383" s="286">
        <f t="shared" si="206"/>
        <v>1.104091144484723</v>
      </c>
      <c r="J383" s="142" t="s">
        <v>1377</v>
      </c>
      <c r="K383" s="142" t="s">
        <v>41</v>
      </c>
      <c r="L383" s="39" t="s">
        <v>962</v>
      </c>
      <c r="M383" s="40">
        <v>1</v>
      </c>
      <c r="N383" s="41" t="s">
        <v>41</v>
      </c>
      <c r="O383" s="41">
        <f t="shared" si="203"/>
        <v>1.104091144484723</v>
      </c>
      <c r="AC383" s="67" t="s">
        <v>41</v>
      </c>
      <c r="AD383" s="67" t="s">
        <v>41</v>
      </c>
    </row>
    <row r="384" spans="1:37" ht="33.75" outlineLevel="2" x14ac:dyDescent="0.25">
      <c r="A384" s="262" t="s">
        <v>557</v>
      </c>
      <c r="B384" s="343" t="s">
        <v>592</v>
      </c>
      <c r="C384" s="299" t="s">
        <v>356</v>
      </c>
      <c r="D384" s="272" t="s">
        <v>319</v>
      </c>
      <c r="E384" s="167">
        <v>97.9</v>
      </c>
      <c r="F384" s="167">
        <v>84.9</v>
      </c>
      <c r="G384" s="167">
        <v>105.59699999999999</v>
      </c>
      <c r="H384" s="286">
        <f t="shared" si="207"/>
        <v>1.243780918727915</v>
      </c>
      <c r="I384" s="286">
        <f t="shared" si="206"/>
        <v>1.0786210418794688</v>
      </c>
      <c r="J384" s="142" t="s">
        <v>2078</v>
      </c>
      <c r="K384" s="142" t="s">
        <v>41</v>
      </c>
      <c r="L384" s="39" t="s">
        <v>962</v>
      </c>
      <c r="M384" s="40">
        <v>1</v>
      </c>
      <c r="N384" s="41">
        <f t="shared" ref="N384" si="208">IF(H384&gt;1,1,H384)</f>
        <v>1</v>
      </c>
      <c r="O384" s="41">
        <f t="shared" si="203"/>
        <v>1.0786210418794688</v>
      </c>
      <c r="AC384" s="67">
        <f t="shared" si="175"/>
        <v>1.243780918727915</v>
      </c>
      <c r="AD384" s="67">
        <f t="shared" si="177"/>
        <v>1.0786210418794688</v>
      </c>
    </row>
    <row r="385" spans="1:37" ht="47.25" customHeight="1" outlineLevel="2" x14ac:dyDescent="0.25">
      <c r="A385" s="262" t="s">
        <v>1842</v>
      </c>
      <c r="B385" s="42" t="s">
        <v>961</v>
      </c>
      <c r="C385" s="65" t="s">
        <v>960</v>
      </c>
      <c r="D385" s="272" t="s">
        <v>319</v>
      </c>
      <c r="E385" s="167">
        <v>4.4000000000000004</v>
      </c>
      <c r="F385" s="167">
        <v>4.5999999999999996</v>
      </c>
      <c r="G385" s="167">
        <v>4.5999999999999996</v>
      </c>
      <c r="H385" s="286">
        <f t="shared" si="207"/>
        <v>1</v>
      </c>
      <c r="I385" s="286">
        <f t="shared" si="206"/>
        <v>1.0454545454545452</v>
      </c>
      <c r="J385" s="142" t="s">
        <v>1378</v>
      </c>
      <c r="K385" s="142" t="s">
        <v>41</v>
      </c>
      <c r="L385" s="39" t="s">
        <v>679</v>
      </c>
      <c r="M385" s="40">
        <v>1</v>
      </c>
      <c r="N385" s="41" t="s">
        <v>41</v>
      </c>
      <c r="O385" s="41">
        <f t="shared" si="203"/>
        <v>1.0454545454545452</v>
      </c>
      <c r="AC385" s="67" t="s">
        <v>41</v>
      </c>
      <c r="AD385" s="67" t="s">
        <v>41</v>
      </c>
    </row>
    <row r="386" spans="1:37" s="47" customFormat="1" ht="29.25" customHeight="1" outlineLevel="1" x14ac:dyDescent="0.25">
      <c r="A386" s="68" t="s">
        <v>163</v>
      </c>
      <c r="B386" s="571" t="s">
        <v>963</v>
      </c>
      <c r="C386" s="571"/>
      <c r="D386" s="571"/>
      <c r="E386" s="571"/>
      <c r="F386" s="571"/>
      <c r="G386" s="571"/>
      <c r="H386" s="69">
        <f>AVERAGE(N387:N395)</f>
        <v>1</v>
      </c>
      <c r="I386" s="69">
        <v>1</v>
      </c>
      <c r="J386" s="70"/>
      <c r="K386" s="70"/>
      <c r="L386" s="71"/>
      <c r="M386" s="351"/>
      <c r="N386" s="55"/>
      <c r="O386" s="41">
        <f t="shared" si="203"/>
        <v>1</v>
      </c>
      <c r="P386" s="49"/>
      <c r="Q386" s="49"/>
      <c r="R386" s="104">
        <f>COUNTA(C387:C395)</f>
        <v>9</v>
      </c>
      <c r="S386" s="103">
        <f>R386-T386-U386-V386-W386</f>
        <v>1</v>
      </c>
      <c r="T386" s="104">
        <f>COUNTIFS(AC387:AC395,"&gt;1,50")</f>
        <v>0</v>
      </c>
      <c r="U386" s="104">
        <f>COUNTIFS(AC387:AC395,"&gt;=0,995",AC387:AC395,"&lt;=1,5")</f>
        <v>8</v>
      </c>
      <c r="V386" s="104">
        <f>COUNTIFS(AC387:AC395,"&gt;=0,85",AC387:AC395,"&lt;0,995")</f>
        <v>0</v>
      </c>
      <c r="W386" s="104">
        <f>COUNTIFS(AC387:AC395,"&lt;0,85")</f>
        <v>0</v>
      </c>
      <c r="X386" s="52">
        <v>1</v>
      </c>
      <c r="Z386" s="96">
        <f>COUNTIFS(AD387:AD395,"&gt;=1,01")</f>
        <v>0</v>
      </c>
      <c r="AA386" s="96">
        <f>COUNTIFS(AD387:AD395,"&gt;=0,99",AD387:AD395,"&lt;1,01")</f>
        <v>0</v>
      </c>
      <c r="AB386" s="97">
        <f>COUNTIFS(AD387:AD395,"&lt;0,99")</f>
        <v>0</v>
      </c>
      <c r="AC386" s="67"/>
      <c r="AD386" s="67"/>
      <c r="AK386" s="47">
        <f>SUM(T386:X386)-R386</f>
        <v>0</v>
      </c>
    </row>
    <row r="387" spans="1:37" ht="123.75" customHeight="1" outlineLevel="2" x14ac:dyDescent="0.25">
      <c r="A387" s="262" t="s">
        <v>560</v>
      </c>
      <c r="B387" s="42" t="s">
        <v>964</v>
      </c>
      <c r="C387" s="306" t="s">
        <v>604</v>
      </c>
      <c r="D387" s="137" t="s">
        <v>339</v>
      </c>
      <c r="E387" s="167">
        <v>1</v>
      </c>
      <c r="F387" s="167">
        <v>1</v>
      </c>
      <c r="G387" s="167">
        <v>1</v>
      </c>
      <c r="H387" s="344">
        <f>G387/F387</f>
        <v>1</v>
      </c>
      <c r="I387" s="344">
        <f>G387/E387</f>
        <v>1</v>
      </c>
      <c r="J387" s="142" t="s">
        <v>41</v>
      </c>
      <c r="K387" s="142" t="s">
        <v>41</v>
      </c>
      <c r="L387" s="39" t="s">
        <v>962</v>
      </c>
      <c r="M387" s="40">
        <v>0</v>
      </c>
      <c r="N387" s="41">
        <f t="shared" ref="N387:N394" si="209">IF(H387&gt;1,1,H387)</f>
        <v>1</v>
      </c>
      <c r="O387" s="41">
        <f t="shared" si="203"/>
        <v>1</v>
      </c>
      <c r="AC387" s="67">
        <f t="shared" si="175"/>
        <v>1</v>
      </c>
      <c r="AD387" s="67" t="s">
        <v>41</v>
      </c>
    </row>
    <row r="388" spans="1:37" ht="141" customHeight="1" outlineLevel="2" x14ac:dyDescent="0.25">
      <c r="A388" s="262" t="s">
        <v>562</v>
      </c>
      <c r="B388" s="42" t="s">
        <v>965</v>
      </c>
      <c r="C388" s="306" t="s">
        <v>365</v>
      </c>
      <c r="D388" s="272" t="s">
        <v>319</v>
      </c>
      <c r="E388" s="167">
        <v>11</v>
      </c>
      <c r="F388" s="167">
        <v>13</v>
      </c>
      <c r="G388" s="167">
        <v>13</v>
      </c>
      <c r="H388" s="344">
        <f>G388/F388</f>
        <v>1</v>
      </c>
      <c r="I388" s="344">
        <f>G388/E388</f>
        <v>1.1818181818181819</v>
      </c>
      <c r="J388" s="142" t="s">
        <v>41</v>
      </c>
      <c r="K388" s="142" t="s">
        <v>41</v>
      </c>
      <c r="L388" s="39" t="s">
        <v>962</v>
      </c>
      <c r="M388" s="40">
        <v>1</v>
      </c>
      <c r="N388" s="41">
        <f t="shared" si="209"/>
        <v>1</v>
      </c>
      <c r="O388" s="41">
        <f t="shared" si="203"/>
        <v>1.1818181818181819</v>
      </c>
      <c r="AC388" s="67">
        <f t="shared" si="175"/>
        <v>1</v>
      </c>
      <c r="AD388" s="67" t="s">
        <v>41</v>
      </c>
    </row>
    <row r="389" spans="1:37" ht="58.5" customHeight="1" outlineLevel="2" x14ac:dyDescent="0.25">
      <c r="A389" s="262" t="s">
        <v>563</v>
      </c>
      <c r="B389" s="42" t="s">
        <v>966</v>
      </c>
      <c r="C389" s="306" t="s">
        <v>365</v>
      </c>
      <c r="D389" s="272" t="s">
        <v>319</v>
      </c>
      <c r="E389" s="167">
        <v>190</v>
      </c>
      <c r="F389" s="167">
        <v>220</v>
      </c>
      <c r="G389" s="167">
        <v>229</v>
      </c>
      <c r="H389" s="344">
        <f>G389/F389</f>
        <v>1.040909090909091</v>
      </c>
      <c r="I389" s="344">
        <f>G389/E389</f>
        <v>1.2052631578947368</v>
      </c>
      <c r="J389" s="142" t="s">
        <v>1379</v>
      </c>
      <c r="K389" s="142" t="s">
        <v>41</v>
      </c>
      <c r="L389" s="39" t="s">
        <v>962</v>
      </c>
      <c r="M389" s="40">
        <v>1</v>
      </c>
      <c r="N389" s="41">
        <f t="shared" si="209"/>
        <v>1</v>
      </c>
      <c r="O389" s="41">
        <f t="shared" si="203"/>
        <v>1.2052631578947368</v>
      </c>
      <c r="AC389" s="67">
        <f t="shared" si="175"/>
        <v>1.040909090909091</v>
      </c>
      <c r="AD389" s="67" t="s">
        <v>41</v>
      </c>
    </row>
    <row r="390" spans="1:37" ht="66.75" customHeight="1" outlineLevel="2" x14ac:dyDescent="0.25">
      <c r="A390" s="262" t="s">
        <v>564</v>
      </c>
      <c r="B390" s="42" t="s">
        <v>967</v>
      </c>
      <c r="C390" s="306" t="s">
        <v>960</v>
      </c>
      <c r="D390" s="272" t="s">
        <v>319</v>
      </c>
      <c r="E390" s="167">
        <v>170.87</v>
      </c>
      <c r="F390" s="167">
        <v>175</v>
      </c>
      <c r="G390" s="167">
        <v>214.69</v>
      </c>
      <c r="H390" s="286">
        <f t="shared" ref="H390:H394" si="210">G390/F390</f>
        <v>1.2267999999999999</v>
      </c>
      <c r="I390" s="286">
        <f t="shared" ref="I390:I394" si="211">G390/E390</f>
        <v>1.2564522736583368</v>
      </c>
      <c r="J390" s="142" t="s">
        <v>1098</v>
      </c>
      <c r="K390" s="142" t="s">
        <v>41</v>
      </c>
      <c r="L390" s="39" t="s">
        <v>962</v>
      </c>
      <c r="M390" s="40">
        <v>1</v>
      </c>
      <c r="N390" s="41">
        <f t="shared" si="209"/>
        <v>1</v>
      </c>
      <c r="O390" s="41">
        <f t="shared" si="203"/>
        <v>1.25</v>
      </c>
      <c r="AC390" s="67">
        <f t="shared" si="175"/>
        <v>1.2267999999999999</v>
      </c>
      <c r="AD390" s="67" t="s">
        <v>41</v>
      </c>
    </row>
    <row r="391" spans="1:37" ht="68.25" customHeight="1" outlineLevel="2" x14ac:dyDescent="0.25">
      <c r="A391" s="262" t="s">
        <v>1580</v>
      </c>
      <c r="B391" s="42" t="s">
        <v>968</v>
      </c>
      <c r="C391" s="306" t="s">
        <v>365</v>
      </c>
      <c r="D391" s="272" t="s">
        <v>319</v>
      </c>
      <c r="E391" s="167">
        <v>4776.88</v>
      </c>
      <c r="F391" s="167">
        <v>4800</v>
      </c>
      <c r="G391" s="167">
        <v>4990</v>
      </c>
      <c r="H391" s="286">
        <f t="shared" si="210"/>
        <v>1.0395833333333333</v>
      </c>
      <c r="I391" s="286">
        <f t="shared" si="211"/>
        <v>1.0446148950779588</v>
      </c>
      <c r="J391" s="142" t="s">
        <v>1099</v>
      </c>
      <c r="K391" s="142" t="s">
        <v>41</v>
      </c>
      <c r="L391" s="39" t="s">
        <v>962</v>
      </c>
      <c r="M391" s="40">
        <v>1</v>
      </c>
      <c r="N391" s="41">
        <f t="shared" si="209"/>
        <v>1</v>
      </c>
      <c r="O391" s="41">
        <f t="shared" si="203"/>
        <v>1.0446148950779588</v>
      </c>
      <c r="AC391" s="67">
        <f t="shared" si="175"/>
        <v>1.0395833333333333</v>
      </c>
      <c r="AD391" s="67" t="s">
        <v>41</v>
      </c>
    </row>
    <row r="392" spans="1:37" ht="65.25" customHeight="1" outlineLevel="2" x14ac:dyDescent="0.25">
      <c r="A392" s="262" t="s">
        <v>565</v>
      </c>
      <c r="B392" s="42" t="s">
        <v>1381</v>
      </c>
      <c r="C392" s="306" t="s">
        <v>365</v>
      </c>
      <c r="D392" s="272" t="s">
        <v>319</v>
      </c>
      <c r="E392" s="167">
        <v>13</v>
      </c>
      <c r="F392" s="167">
        <v>15</v>
      </c>
      <c r="G392" s="167">
        <v>15</v>
      </c>
      <c r="H392" s="286">
        <f t="shared" si="210"/>
        <v>1</v>
      </c>
      <c r="I392" s="286">
        <f t="shared" si="211"/>
        <v>1.1538461538461537</v>
      </c>
      <c r="J392" s="142" t="s">
        <v>41</v>
      </c>
      <c r="K392" s="142" t="s">
        <v>41</v>
      </c>
      <c r="L392" s="39" t="s">
        <v>962</v>
      </c>
      <c r="M392" s="40">
        <v>1</v>
      </c>
      <c r="N392" s="41">
        <f t="shared" si="209"/>
        <v>1</v>
      </c>
      <c r="O392" s="41">
        <f t="shared" si="203"/>
        <v>1.1538461538461537</v>
      </c>
      <c r="AC392" s="67">
        <f t="shared" si="175"/>
        <v>1</v>
      </c>
      <c r="AD392" s="67" t="s">
        <v>41</v>
      </c>
    </row>
    <row r="393" spans="1:37" ht="85.5" customHeight="1" outlineLevel="2" x14ac:dyDescent="0.25">
      <c r="A393" s="262" t="s">
        <v>566</v>
      </c>
      <c r="B393" s="42" t="s">
        <v>1382</v>
      </c>
      <c r="C393" s="167" t="s">
        <v>448</v>
      </c>
      <c r="D393" s="272" t="s">
        <v>319</v>
      </c>
      <c r="E393" s="167">
        <v>31</v>
      </c>
      <c r="F393" s="167">
        <v>23</v>
      </c>
      <c r="G393" s="167">
        <v>33</v>
      </c>
      <c r="H393" s="344">
        <f t="shared" si="210"/>
        <v>1.4347826086956521</v>
      </c>
      <c r="I393" s="286">
        <f t="shared" si="211"/>
        <v>1.064516129032258</v>
      </c>
      <c r="J393" s="142" t="s">
        <v>41</v>
      </c>
      <c r="K393" s="142" t="s">
        <v>41</v>
      </c>
      <c r="L393" s="39" t="s">
        <v>962</v>
      </c>
      <c r="M393" s="40">
        <v>1</v>
      </c>
      <c r="N393" s="41">
        <f t="shared" si="209"/>
        <v>1</v>
      </c>
      <c r="O393" s="41">
        <f t="shared" si="203"/>
        <v>1.064516129032258</v>
      </c>
      <c r="AC393" s="67">
        <f t="shared" si="175"/>
        <v>1.4347826086956521</v>
      </c>
      <c r="AD393" s="67" t="s">
        <v>41</v>
      </c>
    </row>
    <row r="394" spans="1:37" ht="58.5" customHeight="1" outlineLevel="2" x14ac:dyDescent="0.25">
      <c r="A394" s="262" t="s">
        <v>568</v>
      </c>
      <c r="B394" s="42" t="s">
        <v>1100</v>
      </c>
      <c r="C394" s="167" t="s">
        <v>771</v>
      </c>
      <c r="D394" s="272" t="s">
        <v>319</v>
      </c>
      <c r="E394" s="167">
        <v>253.9</v>
      </c>
      <c r="F394" s="167">
        <v>255</v>
      </c>
      <c r="G394" s="167">
        <v>256.47000000000003</v>
      </c>
      <c r="H394" s="344">
        <f t="shared" si="210"/>
        <v>1.0057647058823531</v>
      </c>
      <c r="I394" s="344">
        <f t="shared" si="211"/>
        <v>1.0101220953131156</v>
      </c>
      <c r="J394" s="142" t="s">
        <v>2079</v>
      </c>
      <c r="K394" s="142" t="s">
        <v>41</v>
      </c>
      <c r="L394" s="39" t="s">
        <v>962</v>
      </c>
      <c r="M394" s="40">
        <v>1</v>
      </c>
      <c r="N394" s="41">
        <f t="shared" si="209"/>
        <v>1</v>
      </c>
      <c r="O394" s="41">
        <f t="shared" si="203"/>
        <v>1.0101220953131156</v>
      </c>
      <c r="AC394" s="67">
        <f t="shared" ref="AC394:AD459" si="212">H394</f>
        <v>1.0057647058823531</v>
      </c>
      <c r="AD394" s="67" t="s">
        <v>41</v>
      </c>
    </row>
    <row r="395" spans="1:37" ht="78.75" customHeight="1" outlineLevel="2" x14ac:dyDescent="0.25">
      <c r="A395" s="262" t="s">
        <v>569</v>
      </c>
      <c r="B395" s="42" t="s">
        <v>1383</v>
      </c>
      <c r="C395" s="306" t="s">
        <v>969</v>
      </c>
      <c r="D395" s="280" t="s">
        <v>302</v>
      </c>
      <c r="E395" s="167">
        <v>37</v>
      </c>
      <c r="F395" s="167">
        <v>30</v>
      </c>
      <c r="G395" s="167">
        <v>30</v>
      </c>
      <c r="H395" s="344">
        <f>F395/G395</f>
        <v>1</v>
      </c>
      <c r="I395" s="344">
        <f>E395/G395</f>
        <v>1.2333333333333334</v>
      </c>
      <c r="J395" s="142" t="s">
        <v>1380</v>
      </c>
      <c r="K395" s="142" t="s">
        <v>41</v>
      </c>
      <c r="L395" s="39" t="s">
        <v>962</v>
      </c>
      <c r="M395" s="40">
        <v>-1</v>
      </c>
      <c r="N395" s="41" t="s">
        <v>41</v>
      </c>
      <c r="O395" s="41">
        <f t="shared" si="203"/>
        <v>1.2333333333333334</v>
      </c>
      <c r="AC395" s="67" t="s">
        <v>41</v>
      </c>
      <c r="AD395" s="67" t="s">
        <v>41</v>
      </c>
    </row>
    <row r="396" spans="1:37" s="47" customFormat="1" ht="13.5" customHeight="1" outlineLevel="1" x14ac:dyDescent="0.25">
      <c r="A396" s="84" t="s">
        <v>164</v>
      </c>
      <c r="B396" s="571" t="s">
        <v>599</v>
      </c>
      <c r="C396" s="571"/>
      <c r="D396" s="571"/>
      <c r="E396" s="571"/>
      <c r="F396" s="571"/>
      <c r="G396" s="571"/>
      <c r="H396" s="69">
        <f>AVERAGE(N397:N400)</f>
        <v>1</v>
      </c>
      <c r="I396" s="69">
        <v>1</v>
      </c>
      <c r="J396" s="70"/>
      <c r="K396" s="70"/>
      <c r="L396" s="71"/>
      <c r="M396" s="64"/>
      <c r="N396" s="212"/>
      <c r="O396" s="41">
        <f t="shared" si="203"/>
        <v>1</v>
      </c>
      <c r="P396" s="49"/>
      <c r="Q396" s="49"/>
      <c r="R396" s="104">
        <f>COUNTA(C397:C400)</f>
        <v>4</v>
      </c>
      <c r="S396" s="103">
        <v>3</v>
      </c>
      <c r="T396" s="104">
        <f>COUNTIFS(AC397:AC400,"&gt;1,50")</f>
        <v>1</v>
      </c>
      <c r="U396" s="104">
        <f>COUNTIFS(AC397:AC400,"&gt;=0,995",AC397:AC400,"&lt;=1,5")</f>
        <v>0</v>
      </c>
      <c r="V396" s="104">
        <f>COUNTIFS(AC397:AC400,"&gt;=0,85",AC397:AC400,"&lt;0,995")</f>
        <v>0</v>
      </c>
      <c r="W396" s="104">
        <f>COUNTIFS(AC397:AC400,"&lt;0,85")</f>
        <v>0</v>
      </c>
      <c r="X396" s="52">
        <v>3</v>
      </c>
      <c r="Z396" s="96">
        <f>COUNTIFS(AD397:AD400,"&gt;=1,01")</f>
        <v>0</v>
      </c>
      <c r="AA396" s="96">
        <f>COUNTIFS(AD397:AD400,"&gt;=0,99",AD397:AD400,"&lt;1,01")</f>
        <v>0</v>
      </c>
      <c r="AB396" s="97">
        <f>COUNTIFS(AD397:AD400,"&lt;0,99")</f>
        <v>0</v>
      </c>
      <c r="AC396" s="67"/>
      <c r="AD396" s="67"/>
      <c r="AK396" s="47">
        <f>SUM(T396:X396)-R396</f>
        <v>0</v>
      </c>
    </row>
    <row r="397" spans="1:37" ht="33.75" outlineLevel="2" x14ac:dyDescent="0.25">
      <c r="A397" s="262" t="s">
        <v>571</v>
      </c>
      <c r="B397" s="42" t="s">
        <v>1101</v>
      </c>
      <c r="C397" s="167" t="s">
        <v>321</v>
      </c>
      <c r="D397" s="272" t="s">
        <v>319</v>
      </c>
      <c r="E397" s="167">
        <v>13.1</v>
      </c>
      <c r="F397" s="167">
        <v>9</v>
      </c>
      <c r="G397" s="167">
        <v>9</v>
      </c>
      <c r="H397" s="344">
        <f>G397/F397</f>
        <v>1</v>
      </c>
      <c r="I397" s="344">
        <f>G397/E397</f>
        <v>0.68702290076335881</v>
      </c>
      <c r="J397" s="142" t="s">
        <v>1384</v>
      </c>
      <c r="K397" s="142" t="s">
        <v>41</v>
      </c>
      <c r="L397" s="39" t="s">
        <v>962</v>
      </c>
      <c r="M397" s="40">
        <v>1</v>
      </c>
      <c r="N397" s="41" t="s">
        <v>41</v>
      </c>
      <c r="O397" s="41">
        <f t="shared" si="203"/>
        <v>0.68702290076335881</v>
      </c>
      <c r="AC397" s="67" t="s">
        <v>41</v>
      </c>
      <c r="AD397" s="67" t="s">
        <v>41</v>
      </c>
    </row>
    <row r="398" spans="1:37" ht="56.25" outlineLevel="2" x14ac:dyDescent="0.25">
      <c r="A398" s="262" t="s">
        <v>573</v>
      </c>
      <c r="B398" s="42" t="s">
        <v>1102</v>
      </c>
      <c r="C398" s="306" t="s">
        <v>321</v>
      </c>
      <c r="D398" s="272" t="s">
        <v>319</v>
      </c>
      <c r="E398" s="167">
        <v>98.5</v>
      </c>
      <c r="F398" s="167">
        <v>107</v>
      </c>
      <c r="G398" s="167">
        <v>107</v>
      </c>
      <c r="H398" s="344">
        <f>G398/F398</f>
        <v>1</v>
      </c>
      <c r="I398" s="344">
        <f>G398/E398</f>
        <v>1.0862944162436547</v>
      </c>
      <c r="J398" s="142" t="s">
        <v>1385</v>
      </c>
      <c r="K398" s="142" t="s">
        <v>41</v>
      </c>
      <c r="L398" s="39" t="s">
        <v>962</v>
      </c>
      <c r="M398" s="40">
        <v>1</v>
      </c>
      <c r="N398" s="41" t="s">
        <v>41</v>
      </c>
      <c r="O398" s="41">
        <f t="shared" si="203"/>
        <v>1.0862944162436547</v>
      </c>
      <c r="AC398" s="67" t="s">
        <v>41</v>
      </c>
      <c r="AD398" s="67" t="s">
        <v>41</v>
      </c>
    </row>
    <row r="399" spans="1:37" ht="56.25" outlineLevel="2" x14ac:dyDescent="0.25">
      <c r="A399" s="262" t="s">
        <v>1592</v>
      </c>
      <c r="B399" s="42" t="s">
        <v>602</v>
      </c>
      <c r="C399" s="306" t="s">
        <v>365</v>
      </c>
      <c r="D399" s="272" t="s">
        <v>319</v>
      </c>
      <c r="E399" s="167">
        <v>37.799999999999997</v>
      </c>
      <c r="F399" s="167">
        <v>33.5</v>
      </c>
      <c r="G399" s="167">
        <v>39.480432516341111</v>
      </c>
      <c r="H399" s="344">
        <f t="shared" ref="H399" si="213">G399/F399</f>
        <v>1.1785203736221228</v>
      </c>
      <c r="I399" s="344">
        <f t="shared" ref="I399" si="214">G399/E399</f>
        <v>1.0444558866756908</v>
      </c>
      <c r="J399" s="142" t="s">
        <v>1386</v>
      </c>
      <c r="K399" s="142" t="s">
        <v>41</v>
      </c>
      <c r="L399" s="39" t="s">
        <v>962</v>
      </c>
      <c r="M399" s="40">
        <v>1</v>
      </c>
      <c r="N399" s="41" t="s">
        <v>41</v>
      </c>
      <c r="O399" s="41">
        <f t="shared" si="203"/>
        <v>1.0444558866756908</v>
      </c>
      <c r="AC399" s="67" t="s">
        <v>41</v>
      </c>
      <c r="AD399" s="67" t="s">
        <v>41</v>
      </c>
    </row>
    <row r="400" spans="1:37" ht="56.25" outlineLevel="2" x14ac:dyDescent="0.25">
      <c r="A400" s="262" t="s">
        <v>577</v>
      </c>
      <c r="B400" s="42" t="s">
        <v>971</v>
      </c>
      <c r="C400" s="167" t="s">
        <v>356</v>
      </c>
      <c r="D400" s="345" t="s">
        <v>378</v>
      </c>
      <c r="E400" s="167">
        <v>19.899999999999999</v>
      </c>
      <c r="F400" s="167">
        <v>5.7329999999999997</v>
      </c>
      <c r="G400" s="167">
        <v>28.335999999999999</v>
      </c>
      <c r="H400" s="344">
        <f>G400/F400</f>
        <v>4.9426129426129428</v>
      </c>
      <c r="I400" s="344">
        <f>G400/E400</f>
        <v>1.4239195979899497</v>
      </c>
      <c r="J400" s="142" t="s">
        <v>972</v>
      </c>
      <c r="K400" s="142" t="s">
        <v>41</v>
      </c>
      <c r="L400" s="39" t="s">
        <v>962</v>
      </c>
      <c r="M400" s="40">
        <v>0</v>
      </c>
      <c r="N400" s="41">
        <f t="shared" ref="N400" si="215">IF(H400&gt;1,1,H400)</f>
        <v>1</v>
      </c>
      <c r="O400" s="41">
        <f t="shared" si="203"/>
        <v>1.25</v>
      </c>
      <c r="AC400" s="67">
        <f>H400</f>
        <v>4.9426129426129428</v>
      </c>
      <c r="AD400" s="67" t="s">
        <v>41</v>
      </c>
    </row>
    <row r="401" spans="1:37" s="47" customFormat="1" ht="23.25" customHeight="1" outlineLevel="1" x14ac:dyDescent="0.25">
      <c r="A401" s="68" t="s">
        <v>165</v>
      </c>
      <c r="B401" s="571" t="s">
        <v>973</v>
      </c>
      <c r="C401" s="571"/>
      <c r="D401" s="571"/>
      <c r="E401" s="571"/>
      <c r="F401" s="571"/>
      <c r="G401" s="571"/>
      <c r="H401" s="69">
        <f>AVERAGE(N402:N404)</f>
        <v>0.5</v>
      </c>
      <c r="I401" s="69">
        <v>1</v>
      </c>
      <c r="J401" s="70"/>
      <c r="K401" s="70"/>
      <c r="L401" s="71"/>
      <c r="M401" s="64"/>
      <c r="N401" s="212"/>
      <c r="O401" s="41">
        <f t="shared" si="203"/>
        <v>1</v>
      </c>
      <c r="P401" s="49"/>
      <c r="Q401" s="49"/>
      <c r="R401" s="104">
        <f>COUNTA(C402:C404)</f>
        <v>3</v>
      </c>
      <c r="S401" s="103">
        <f>R401-T401-U401-V401-W401</f>
        <v>1</v>
      </c>
      <c r="T401" s="104">
        <f>COUNTIFS(AC402:AC404,"&gt;1,50")</f>
        <v>0</v>
      </c>
      <c r="U401" s="104">
        <f>COUNTIFS(AC402:AC404,"&gt;=0,995",AC402:AC404,"&lt;=1,5")</f>
        <v>1</v>
      </c>
      <c r="V401" s="104">
        <f>COUNTIFS(AC402:AC404,"&gt;=0,85",AC402:AC404,"&lt;0,995")</f>
        <v>0</v>
      </c>
      <c r="W401" s="104">
        <f>COUNTIFS(AC402:AC404,"&lt;0,85")</f>
        <v>1</v>
      </c>
      <c r="X401" s="52">
        <v>1</v>
      </c>
      <c r="Z401" s="96">
        <f>COUNTIFS(AD402:AD404,"&gt;=1,01")</f>
        <v>0</v>
      </c>
      <c r="AA401" s="96">
        <f>COUNTIFS(AD402:AD404,"&gt;=0,99",AD402:AD404,"&lt;1,01")</f>
        <v>0</v>
      </c>
      <c r="AB401" s="97">
        <f>COUNTIFS(AD402:AD404,"&lt;0,99")</f>
        <v>0</v>
      </c>
      <c r="AC401" s="67"/>
      <c r="AD401" s="67"/>
      <c r="AK401" s="47">
        <f>SUM(T401:X401)-R401</f>
        <v>0</v>
      </c>
    </row>
    <row r="402" spans="1:37" s="47" customFormat="1" ht="39" customHeight="1" outlineLevel="1" x14ac:dyDescent="0.25">
      <c r="A402" s="262" t="s">
        <v>583</v>
      </c>
      <c r="B402" s="42" t="s">
        <v>974</v>
      </c>
      <c r="C402" s="306" t="s">
        <v>356</v>
      </c>
      <c r="D402" s="272" t="s">
        <v>319</v>
      </c>
      <c r="E402" s="167">
        <v>539.4</v>
      </c>
      <c r="F402" s="167">
        <v>588.29999999999995</v>
      </c>
      <c r="G402" s="167">
        <v>588.29999999999995</v>
      </c>
      <c r="H402" s="344">
        <f>G402/F402</f>
        <v>1</v>
      </c>
      <c r="I402" s="344">
        <f>G402/E402</f>
        <v>1.0906562847608454</v>
      </c>
      <c r="J402" s="142" t="s">
        <v>2080</v>
      </c>
      <c r="K402" s="142" t="s">
        <v>41</v>
      </c>
      <c r="L402" s="39" t="s">
        <v>679</v>
      </c>
      <c r="M402" s="40">
        <v>1</v>
      </c>
      <c r="N402" s="41" t="s">
        <v>41</v>
      </c>
      <c r="O402" s="41">
        <f t="shared" si="203"/>
        <v>1.0906562847608454</v>
      </c>
      <c r="P402" s="49"/>
      <c r="Q402" s="49"/>
      <c r="R402" s="370"/>
      <c r="S402" s="103"/>
      <c r="T402" s="370"/>
      <c r="U402" s="370"/>
      <c r="V402" s="370"/>
      <c r="W402" s="370"/>
      <c r="X402" s="52"/>
      <c r="Z402" s="371"/>
      <c r="AA402" s="371"/>
      <c r="AB402" s="371"/>
      <c r="AC402" s="67" t="s">
        <v>41</v>
      </c>
      <c r="AD402" s="67" t="s">
        <v>41</v>
      </c>
    </row>
    <row r="403" spans="1:37" s="47" customFormat="1" ht="60" customHeight="1" outlineLevel="1" x14ac:dyDescent="0.25">
      <c r="A403" s="262" t="s">
        <v>585</v>
      </c>
      <c r="B403" s="42" t="s">
        <v>1103</v>
      </c>
      <c r="C403" s="306" t="s">
        <v>365</v>
      </c>
      <c r="D403" s="345" t="s">
        <v>378</v>
      </c>
      <c r="E403" s="167">
        <v>2</v>
      </c>
      <c r="F403" s="167">
        <v>3</v>
      </c>
      <c r="G403" s="167">
        <v>4</v>
      </c>
      <c r="H403" s="344">
        <f>G403/F403</f>
        <v>1.3333333333333333</v>
      </c>
      <c r="I403" s="344">
        <f>G403/E403</f>
        <v>2</v>
      </c>
      <c r="J403" s="142" t="s">
        <v>2081</v>
      </c>
      <c r="K403" s="142" t="s">
        <v>41</v>
      </c>
      <c r="L403" s="39" t="s">
        <v>679</v>
      </c>
      <c r="M403" s="40">
        <v>0</v>
      </c>
      <c r="N403" s="41">
        <f t="shared" ref="N403:N406" si="216">IF(H403&gt;1,1,H403)</f>
        <v>1</v>
      </c>
      <c r="O403" s="41">
        <f t="shared" si="203"/>
        <v>1.25</v>
      </c>
      <c r="P403" s="49"/>
      <c r="Q403" s="49"/>
      <c r="R403" s="370"/>
      <c r="S403" s="103"/>
      <c r="T403" s="370"/>
      <c r="U403" s="370"/>
      <c r="V403" s="370"/>
      <c r="W403" s="370"/>
      <c r="X403" s="52"/>
      <c r="Z403" s="371"/>
      <c r="AA403" s="371"/>
      <c r="AB403" s="371"/>
      <c r="AC403" s="67">
        <f t="shared" si="212"/>
        <v>1.3333333333333333</v>
      </c>
      <c r="AD403" s="67" t="s">
        <v>41</v>
      </c>
    </row>
    <row r="404" spans="1:37" ht="41.25" customHeight="1" outlineLevel="2" x14ac:dyDescent="0.25">
      <c r="A404" s="262" t="s">
        <v>588</v>
      </c>
      <c r="B404" s="42" t="s">
        <v>1387</v>
      </c>
      <c r="C404" s="306" t="s">
        <v>365</v>
      </c>
      <c r="D404" s="345" t="s">
        <v>378</v>
      </c>
      <c r="E404" s="167" t="s">
        <v>41</v>
      </c>
      <c r="F404" s="167">
        <v>12</v>
      </c>
      <c r="G404" s="167">
        <v>0</v>
      </c>
      <c r="H404" s="344">
        <f>G404/F404</f>
        <v>0</v>
      </c>
      <c r="I404" s="344" t="s">
        <v>41</v>
      </c>
      <c r="J404" s="142" t="s">
        <v>1388</v>
      </c>
      <c r="K404" s="142" t="s">
        <v>41</v>
      </c>
      <c r="L404" s="39" t="s">
        <v>679</v>
      </c>
      <c r="M404" s="40">
        <v>0</v>
      </c>
      <c r="N404" s="41">
        <f t="shared" si="216"/>
        <v>0</v>
      </c>
      <c r="O404" s="41">
        <f t="shared" si="203"/>
        <v>1.25</v>
      </c>
      <c r="AC404" s="67">
        <f t="shared" si="212"/>
        <v>0</v>
      </c>
      <c r="AD404" s="67" t="str">
        <f t="shared" si="212"/>
        <v>-</v>
      </c>
    </row>
    <row r="405" spans="1:37" s="47" customFormat="1" ht="24" customHeight="1" outlineLevel="1" x14ac:dyDescent="0.25">
      <c r="A405" s="68" t="s">
        <v>272</v>
      </c>
      <c r="B405" s="571" t="s">
        <v>975</v>
      </c>
      <c r="C405" s="571"/>
      <c r="D405" s="571"/>
      <c r="E405" s="571"/>
      <c r="F405" s="571"/>
      <c r="G405" s="571"/>
      <c r="H405" s="69">
        <f>AVERAGE(N406:N408)</f>
        <v>0.66666666666666663</v>
      </c>
      <c r="I405" s="69">
        <v>1</v>
      </c>
      <c r="J405" s="70"/>
      <c r="K405" s="70"/>
      <c r="L405" s="71"/>
      <c r="M405" s="64"/>
      <c r="N405" s="41"/>
      <c r="O405" s="41">
        <f t="shared" si="203"/>
        <v>1</v>
      </c>
      <c r="P405" s="49"/>
      <c r="Q405" s="49"/>
      <c r="R405" s="104">
        <f>COUNTA(C406:C408)</f>
        <v>3</v>
      </c>
      <c r="S405" s="103">
        <v>0</v>
      </c>
      <c r="T405" s="104">
        <f>COUNTIFS(AC406:AC408,"&gt;1,50")</f>
        <v>0</v>
      </c>
      <c r="U405" s="104">
        <f>COUNTIFS(AC406:AC408,"&gt;=0,995",AC406:AC408,"&lt;=1,5")</f>
        <v>2</v>
      </c>
      <c r="V405" s="104">
        <f>COUNTIFS(AC406:AC408,"&gt;=0,85",AC406:AC408,"&lt;0,995")</f>
        <v>0</v>
      </c>
      <c r="W405" s="104">
        <f>COUNTIFS(AC406:AC408,"&lt;0,85")</f>
        <v>1</v>
      </c>
      <c r="X405" s="52">
        <v>0</v>
      </c>
      <c r="Z405" s="96">
        <f>COUNTIFS(AD406:AD408,"&gt;=1,01")</f>
        <v>0</v>
      </c>
      <c r="AA405" s="96">
        <f>COUNTIFS(AD406:AD408,"&gt;=0,99",AD406:AD408,"&lt;1,01")</f>
        <v>0</v>
      </c>
      <c r="AB405" s="97">
        <f>COUNTIFS(AD406:AD408,"&lt;0,99")</f>
        <v>0</v>
      </c>
      <c r="AC405" s="67"/>
      <c r="AD405" s="67"/>
      <c r="AK405" s="47">
        <f>SUM(T405:X405)-R405</f>
        <v>0</v>
      </c>
    </row>
    <row r="406" spans="1:37" ht="41.25" customHeight="1" outlineLevel="2" x14ac:dyDescent="0.25">
      <c r="A406" s="262" t="s">
        <v>1843</v>
      </c>
      <c r="B406" s="343" t="s">
        <v>976</v>
      </c>
      <c r="C406" s="306" t="s">
        <v>979</v>
      </c>
      <c r="D406" s="162" t="s">
        <v>339</v>
      </c>
      <c r="E406" s="167">
        <v>0</v>
      </c>
      <c r="F406" s="167">
        <v>1</v>
      </c>
      <c r="G406" s="167">
        <v>1</v>
      </c>
      <c r="H406" s="344">
        <f t="shared" ref="H406:H408" si="217">G406/F406</f>
        <v>1</v>
      </c>
      <c r="I406" s="344" t="s">
        <v>41</v>
      </c>
      <c r="J406" s="142" t="s">
        <v>41</v>
      </c>
      <c r="K406" s="142" t="s">
        <v>41</v>
      </c>
      <c r="L406" s="39" t="s">
        <v>962</v>
      </c>
      <c r="M406" s="40">
        <v>0</v>
      </c>
      <c r="N406" s="41">
        <f t="shared" si="216"/>
        <v>1</v>
      </c>
      <c r="O406" s="41">
        <f t="shared" si="203"/>
        <v>1.25</v>
      </c>
      <c r="AC406" s="67">
        <f t="shared" si="212"/>
        <v>1</v>
      </c>
      <c r="AD406" s="67" t="str">
        <f t="shared" si="212"/>
        <v>-</v>
      </c>
    </row>
    <row r="407" spans="1:37" ht="69" customHeight="1" outlineLevel="2" x14ac:dyDescent="0.25">
      <c r="A407" s="262" t="s">
        <v>1844</v>
      </c>
      <c r="B407" s="343" t="s">
        <v>977</v>
      </c>
      <c r="C407" s="306" t="s">
        <v>365</v>
      </c>
      <c r="D407" s="162" t="s">
        <v>339</v>
      </c>
      <c r="E407" s="167">
        <v>6</v>
      </c>
      <c r="F407" s="167">
        <v>5</v>
      </c>
      <c r="G407" s="167">
        <v>5</v>
      </c>
      <c r="H407" s="344">
        <f t="shared" si="217"/>
        <v>1</v>
      </c>
      <c r="I407" s="344" t="s">
        <v>41</v>
      </c>
      <c r="J407" s="142" t="s">
        <v>41</v>
      </c>
      <c r="K407" s="142" t="s">
        <v>41</v>
      </c>
      <c r="L407" s="39" t="s">
        <v>962</v>
      </c>
      <c r="M407" s="40">
        <v>0</v>
      </c>
      <c r="N407" s="41">
        <f t="shared" ref="N407:N408" si="218">IF(H407&gt;1,1,H407)</f>
        <v>1</v>
      </c>
      <c r="O407" s="41">
        <f t="shared" si="203"/>
        <v>1.25</v>
      </c>
      <c r="AC407" s="67">
        <f t="shared" si="212"/>
        <v>1</v>
      </c>
      <c r="AD407" s="67" t="s">
        <v>41</v>
      </c>
    </row>
    <row r="408" spans="1:37" ht="74.25" customHeight="1" outlineLevel="2" x14ac:dyDescent="0.25">
      <c r="A408" s="262" t="s">
        <v>1845</v>
      </c>
      <c r="B408" s="343" t="s">
        <v>978</v>
      </c>
      <c r="C408" s="306" t="s">
        <v>979</v>
      </c>
      <c r="D408" s="162" t="s">
        <v>339</v>
      </c>
      <c r="E408" s="167">
        <v>1</v>
      </c>
      <c r="F408" s="167">
        <v>1</v>
      </c>
      <c r="G408" s="167">
        <v>0</v>
      </c>
      <c r="H408" s="344">
        <f t="shared" si="217"/>
        <v>0</v>
      </c>
      <c r="I408" s="344" t="s">
        <v>41</v>
      </c>
      <c r="J408" s="142" t="s">
        <v>1389</v>
      </c>
      <c r="K408" s="142" t="s">
        <v>1390</v>
      </c>
      <c r="L408" s="39" t="s">
        <v>962</v>
      </c>
      <c r="M408" s="40">
        <v>0</v>
      </c>
      <c r="N408" s="41">
        <f t="shared" si="218"/>
        <v>0</v>
      </c>
      <c r="O408" s="41">
        <f t="shared" si="203"/>
        <v>1.25</v>
      </c>
      <c r="AC408" s="67">
        <f t="shared" si="212"/>
        <v>0</v>
      </c>
      <c r="AD408" s="67" t="s">
        <v>41</v>
      </c>
    </row>
    <row r="409" spans="1:37" s="47" customFormat="1" ht="19.5" customHeight="1" x14ac:dyDescent="0.25">
      <c r="A409" s="493" t="s">
        <v>166</v>
      </c>
      <c r="B409" s="577" t="s">
        <v>659</v>
      </c>
      <c r="C409" s="577"/>
      <c r="D409" s="577"/>
      <c r="E409" s="577"/>
      <c r="F409" s="577"/>
      <c r="G409" s="577"/>
      <c r="H409" s="494">
        <f>AVERAGE(N410:N412,N414:N418,N420:N422)</f>
        <v>1</v>
      </c>
      <c r="I409" s="494">
        <f>AVERAGE(O410:O412,O414:O418,O420:O422)</f>
        <v>0.96797937404324441</v>
      </c>
      <c r="J409" s="495"/>
      <c r="K409" s="495"/>
      <c r="L409" s="496"/>
      <c r="M409" s="64"/>
      <c r="N409" s="212"/>
      <c r="O409" s="41"/>
      <c r="P409" s="49"/>
      <c r="Q409" s="49"/>
      <c r="R409" s="110">
        <f>COUNTA(C410:C422)</f>
        <v>11</v>
      </c>
      <c r="S409" s="102">
        <f>R409-T409-U409-V409-W409</f>
        <v>0</v>
      </c>
      <c r="T409" s="110">
        <f>COUNTIFS(AC410:AC422,"&gt;1,50")</f>
        <v>1</v>
      </c>
      <c r="U409" s="110">
        <f>COUNTIFS(AC410:AC422,"&gt;=0,995",AC410:AC422,"&lt;=1,5")</f>
        <v>10</v>
      </c>
      <c r="V409" s="110">
        <f>COUNTIFS(AC410:AC422,"&gt;=0,85",AC410:AC422,"&lt;0,995")</f>
        <v>0</v>
      </c>
      <c r="W409" s="110">
        <f>COUNTIFS(AC410:AC422,"&lt;0,85")</f>
        <v>0</v>
      </c>
      <c r="X409" s="49"/>
      <c r="Z409" s="100">
        <f>COUNTIFS(AD410:AD422,"&gt;=1,01")</f>
        <v>3</v>
      </c>
      <c r="AA409" s="100">
        <f>COUNTIFS(AD410:AD422,"&gt;=0,99",AD410:AD422,"&lt;1,01")</f>
        <v>5</v>
      </c>
      <c r="AB409" s="101">
        <f>COUNTIFS(AD410:AD422,"&lt;0,99")</f>
        <v>2</v>
      </c>
      <c r="AC409" s="67"/>
      <c r="AD409" s="67"/>
      <c r="AK409" s="47">
        <f>SUM(T409:X409)-R409</f>
        <v>0</v>
      </c>
    </row>
    <row r="410" spans="1:37" ht="56.25" outlineLevel="2" x14ac:dyDescent="0.25">
      <c r="A410" s="262" t="s">
        <v>591</v>
      </c>
      <c r="B410" s="248" t="s">
        <v>819</v>
      </c>
      <c r="C410" s="246" t="s">
        <v>321</v>
      </c>
      <c r="D410" s="272" t="s">
        <v>319</v>
      </c>
      <c r="E410" s="441">
        <v>100</v>
      </c>
      <c r="F410" s="441">
        <v>100</v>
      </c>
      <c r="G410" s="441">
        <v>100</v>
      </c>
      <c r="H410" s="286">
        <f>G410/F410</f>
        <v>1</v>
      </c>
      <c r="I410" s="286">
        <f>G410/E410</f>
        <v>1</v>
      </c>
      <c r="J410" s="167" t="s">
        <v>41</v>
      </c>
      <c r="K410" s="167" t="s">
        <v>41</v>
      </c>
      <c r="L410" s="39" t="s">
        <v>240</v>
      </c>
      <c r="M410" s="40">
        <v>1</v>
      </c>
      <c r="N410" s="41">
        <f>IF(H410&gt;1,1,H410)</f>
        <v>1</v>
      </c>
      <c r="O410" s="41">
        <f t="shared" si="203"/>
        <v>1</v>
      </c>
      <c r="AC410" s="67">
        <f t="shared" si="212"/>
        <v>1</v>
      </c>
      <c r="AD410" s="67">
        <f t="shared" si="212"/>
        <v>1</v>
      </c>
    </row>
    <row r="411" spans="1:37" ht="56.25" outlineLevel="2" x14ac:dyDescent="0.25">
      <c r="A411" s="262" t="s">
        <v>593</v>
      </c>
      <c r="B411" s="243" t="s">
        <v>820</v>
      </c>
      <c r="C411" s="246" t="s">
        <v>321</v>
      </c>
      <c r="D411" s="272" t="s">
        <v>319</v>
      </c>
      <c r="E411" s="441">
        <v>88.8</v>
      </c>
      <c r="F411" s="441">
        <v>89</v>
      </c>
      <c r="G411" s="441">
        <v>88.9</v>
      </c>
      <c r="H411" s="286">
        <f>G411/F411</f>
        <v>0.99887640449438209</v>
      </c>
      <c r="I411" s="286">
        <f>G411/E411</f>
        <v>1.0011261261261262</v>
      </c>
      <c r="J411" s="167" t="s">
        <v>41</v>
      </c>
      <c r="K411" s="167" t="s">
        <v>41</v>
      </c>
      <c r="L411" s="65" t="s">
        <v>240</v>
      </c>
      <c r="M411" s="40">
        <v>1</v>
      </c>
      <c r="N411" s="41">
        <v>1</v>
      </c>
      <c r="O411" s="41">
        <f t="shared" si="203"/>
        <v>1.0011261261261262</v>
      </c>
      <c r="AC411" s="67">
        <f t="shared" si="212"/>
        <v>0.99887640449438209</v>
      </c>
      <c r="AD411" s="67">
        <f t="shared" si="212"/>
        <v>1.0011261261261262</v>
      </c>
    </row>
    <row r="412" spans="1:37" ht="67.5" outlineLevel="2" x14ac:dyDescent="0.25">
      <c r="A412" s="262" t="s">
        <v>594</v>
      </c>
      <c r="B412" s="247" t="s">
        <v>821</v>
      </c>
      <c r="C412" s="245" t="s">
        <v>343</v>
      </c>
      <c r="D412" s="272" t="s">
        <v>319</v>
      </c>
      <c r="E412" s="441">
        <v>9</v>
      </c>
      <c r="F412" s="441">
        <v>10</v>
      </c>
      <c r="G412" s="441">
        <v>10</v>
      </c>
      <c r="H412" s="286">
        <f>G412/F412</f>
        <v>1</v>
      </c>
      <c r="I412" s="286">
        <f t="shared" ref="I412" si="219">G412/E412</f>
        <v>1.1111111111111112</v>
      </c>
      <c r="J412" s="167" t="s">
        <v>41</v>
      </c>
      <c r="K412" s="137" t="s">
        <v>41</v>
      </c>
      <c r="L412" s="39" t="s">
        <v>240</v>
      </c>
      <c r="M412" s="40">
        <v>1</v>
      </c>
      <c r="N412" s="41">
        <f>IF(H412&gt;1,1,H412)</f>
        <v>1</v>
      </c>
      <c r="O412" s="41">
        <f t="shared" si="203"/>
        <v>1.1111111111111112</v>
      </c>
      <c r="AC412" s="67">
        <f t="shared" si="212"/>
        <v>1</v>
      </c>
      <c r="AD412" s="67">
        <f t="shared" si="212"/>
        <v>1.1111111111111112</v>
      </c>
    </row>
    <row r="413" spans="1:37" s="47" customFormat="1" ht="24" customHeight="1" outlineLevel="1" x14ac:dyDescent="0.25">
      <c r="A413" s="68" t="s">
        <v>167</v>
      </c>
      <c r="B413" s="571" t="s">
        <v>822</v>
      </c>
      <c r="C413" s="571"/>
      <c r="D413" s="571"/>
      <c r="E413" s="571"/>
      <c r="F413" s="571"/>
      <c r="G413" s="571"/>
      <c r="H413" s="69">
        <f>AVERAGE(N414:N418)</f>
        <v>1</v>
      </c>
      <c r="I413" s="69">
        <f>AVERAGE(O414:O418)</f>
        <v>0.97031995729254694</v>
      </c>
      <c r="J413" s="70"/>
      <c r="K413" s="70"/>
      <c r="L413" s="71"/>
      <c r="M413" s="64"/>
      <c r="N413" s="212"/>
      <c r="O413" s="41"/>
      <c r="P413" s="49"/>
      <c r="Q413" s="49"/>
      <c r="R413" s="104">
        <f>COUNTA(C414:C418)</f>
        <v>5</v>
      </c>
      <c r="S413" s="103">
        <v>0</v>
      </c>
      <c r="T413" s="104">
        <f>COUNTIFS(AC414:AC418,"&gt;1,50")</f>
        <v>0</v>
      </c>
      <c r="U413" s="104">
        <f>COUNTIFS(AC414:AC418,"&gt;=0,995",AC414:AC418,"&lt;=1,5")</f>
        <v>5</v>
      </c>
      <c r="V413" s="104">
        <f>COUNTIFS(AC414:AC418,"&gt;=0,85",AC414:AC418,"&lt;0,995")</f>
        <v>0</v>
      </c>
      <c r="W413" s="104">
        <f>COUNTIFS(AC414:AC418,"&lt;0,85")</f>
        <v>0</v>
      </c>
      <c r="X413" s="52"/>
      <c r="Z413" s="96">
        <f>COUNTIFS(AD414:AD418,"&gt;=1,01")</f>
        <v>1</v>
      </c>
      <c r="AA413" s="96">
        <f>COUNTIFS(AD414:AD418,"&gt;=0,99",AD414:AD418,"&lt;1,01")</f>
        <v>2</v>
      </c>
      <c r="AB413" s="97">
        <f>COUNTIFS(AD414:AD418,"&lt;0,99")</f>
        <v>1</v>
      </c>
      <c r="AC413" s="67"/>
      <c r="AD413" s="67"/>
      <c r="AK413" s="47">
        <f>SUM(T413:X413)-R413</f>
        <v>0</v>
      </c>
    </row>
    <row r="414" spans="1:37" ht="225" outlineLevel="2" x14ac:dyDescent="0.25">
      <c r="A414" s="262" t="s">
        <v>595</v>
      </c>
      <c r="B414" s="249" t="s">
        <v>823</v>
      </c>
      <c r="C414" s="246" t="s">
        <v>321</v>
      </c>
      <c r="D414" s="272" t="s">
        <v>319</v>
      </c>
      <c r="E414" s="441">
        <v>95.4</v>
      </c>
      <c r="F414" s="441">
        <v>90</v>
      </c>
      <c r="G414" s="441">
        <v>99</v>
      </c>
      <c r="H414" s="286">
        <f t="shared" ref="H414:H418" si="220">G414/F414</f>
        <v>1.1000000000000001</v>
      </c>
      <c r="I414" s="286">
        <f t="shared" ref="I414:I418" si="221">G414/E414</f>
        <v>1.0377358490566038</v>
      </c>
      <c r="J414" s="167" t="s">
        <v>1456</v>
      </c>
      <c r="K414" s="167" t="s">
        <v>41</v>
      </c>
      <c r="L414" s="39" t="s">
        <v>240</v>
      </c>
      <c r="M414" s="40">
        <v>1</v>
      </c>
      <c r="N414" s="41">
        <f>IF(H414&gt;1,1,H414)</f>
        <v>1</v>
      </c>
      <c r="O414" s="41">
        <f t="shared" si="203"/>
        <v>1.0377358490566038</v>
      </c>
      <c r="AC414" s="67">
        <f t="shared" si="212"/>
        <v>1.1000000000000001</v>
      </c>
      <c r="AD414" s="67">
        <f t="shared" si="212"/>
        <v>1.0377358490566038</v>
      </c>
    </row>
    <row r="415" spans="1:37" ht="90" outlineLevel="2" x14ac:dyDescent="0.25">
      <c r="A415" s="262" t="s">
        <v>596</v>
      </c>
      <c r="B415" s="249" t="s">
        <v>824</v>
      </c>
      <c r="C415" s="246" t="s">
        <v>321</v>
      </c>
      <c r="D415" s="272" t="s">
        <v>319</v>
      </c>
      <c r="E415" s="441">
        <v>86.51</v>
      </c>
      <c r="F415" s="441">
        <v>83</v>
      </c>
      <c r="G415" s="441">
        <v>86</v>
      </c>
      <c r="H415" s="286">
        <f t="shared" si="220"/>
        <v>1.036144578313253</v>
      </c>
      <c r="I415" s="286">
        <f>G415/E415</f>
        <v>0.99410472777713554</v>
      </c>
      <c r="J415" s="167" t="s">
        <v>1455</v>
      </c>
      <c r="K415" s="167" t="s">
        <v>41</v>
      </c>
      <c r="L415" s="39" t="s">
        <v>240</v>
      </c>
      <c r="M415" s="40">
        <v>1</v>
      </c>
      <c r="N415" s="41">
        <f>IF(H415&gt;1,1,H415)</f>
        <v>1</v>
      </c>
      <c r="O415" s="41">
        <f t="shared" si="203"/>
        <v>0.99410472777713554</v>
      </c>
      <c r="AC415" s="67">
        <f t="shared" si="212"/>
        <v>1.036144578313253</v>
      </c>
      <c r="AD415" s="67">
        <f t="shared" si="212"/>
        <v>0.99410472777713554</v>
      </c>
    </row>
    <row r="416" spans="1:37" ht="159.75" customHeight="1" outlineLevel="2" x14ac:dyDescent="0.25">
      <c r="A416" s="262" t="s">
        <v>597</v>
      </c>
      <c r="B416" s="249" t="s">
        <v>825</v>
      </c>
      <c r="C416" s="246" t="s">
        <v>321</v>
      </c>
      <c r="D416" s="272" t="s">
        <v>319</v>
      </c>
      <c r="E416" s="441">
        <v>107</v>
      </c>
      <c r="F416" s="441">
        <v>88</v>
      </c>
      <c r="G416" s="441">
        <v>90.89</v>
      </c>
      <c r="H416" s="286">
        <f t="shared" si="220"/>
        <v>1.0328409090909092</v>
      </c>
      <c r="I416" s="286">
        <f t="shared" si="221"/>
        <v>0.84943925233644857</v>
      </c>
      <c r="J416" s="167" t="s">
        <v>2082</v>
      </c>
      <c r="K416" s="167" t="s">
        <v>41</v>
      </c>
      <c r="L416" s="39" t="s">
        <v>240</v>
      </c>
      <c r="M416" s="40">
        <v>1</v>
      </c>
      <c r="N416" s="41">
        <f>IF(H416&gt;1,1,H416)</f>
        <v>1</v>
      </c>
      <c r="O416" s="41">
        <f t="shared" si="203"/>
        <v>0.84943925233644857</v>
      </c>
      <c r="AC416" s="67">
        <f t="shared" si="212"/>
        <v>1.0328409090909092</v>
      </c>
      <c r="AD416" s="67">
        <f t="shared" si="212"/>
        <v>0.84943925233644857</v>
      </c>
    </row>
    <row r="417" spans="1:37" ht="66" customHeight="1" outlineLevel="2" x14ac:dyDescent="0.25">
      <c r="A417" s="262" t="s">
        <v>598</v>
      </c>
      <c r="B417" s="249" t="s">
        <v>826</v>
      </c>
      <c r="C417" s="246" t="s">
        <v>463</v>
      </c>
      <c r="D417" s="280" t="s">
        <v>302</v>
      </c>
      <c r="E417" s="441">
        <v>0</v>
      </c>
      <c r="F417" s="441">
        <v>18</v>
      </c>
      <c r="G417" s="441">
        <v>0</v>
      </c>
      <c r="H417" s="286">
        <v>1</v>
      </c>
      <c r="I417" s="286">
        <v>1</v>
      </c>
      <c r="J417" s="167" t="s">
        <v>41</v>
      </c>
      <c r="K417" s="167" t="s">
        <v>41</v>
      </c>
      <c r="L417" s="75" t="s">
        <v>828</v>
      </c>
      <c r="M417" s="40">
        <v>-1</v>
      </c>
      <c r="N417" s="41">
        <f>IF(H417&gt;1,1,H417)</f>
        <v>1</v>
      </c>
      <c r="O417" s="41">
        <f t="shared" si="203"/>
        <v>1</v>
      </c>
      <c r="AC417" s="67">
        <f t="shared" si="212"/>
        <v>1</v>
      </c>
      <c r="AD417" s="67">
        <f t="shared" si="212"/>
        <v>1</v>
      </c>
    </row>
    <row r="418" spans="1:37" ht="106.5" customHeight="1" outlineLevel="2" x14ac:dyDescent="0.25">
      <c r="A418" s="262" t="s">
        <v>970</v>
      </c>
      <c r="B418" s="249" t="s">
        <v>827</v>
      </c>
      <c r="C418" s="246" t="s">
        <v>321</v>
      </c>
      <c r="D418" s="167" t="s">
        <v>339</v>
      </c>
      <c r="E418" s="441">
        <v>99.45</v>
      </c>
      <c r="F418" s="441">
        <v>99</v>
      </c>
      <c r="G418" s="441">
        <v>99.45</v>
      </c>
      <c r="H418" s="286">
        <f t="shared" si="220"/>
        <v>1.0045454545454546</v>
      </c>
      <c r="I418" s="346">
        <f t="shared" si="221"/>
        <v>1</v>
      </c>
      <c r="J418" s="167" t="s">
        <v>2083</v>
      </c>
      <c r="K418" s="167" t="s">
        <v>41</v>
      </c>
      <c r="L418" s="75" t="s">
        <v>828</v>
      </c>
      <c r="M418" s="40">
        <v>0</v>
      </c>
      <c r="N418" s="41">
        <f>IF(H418&gt;1,1,H418)</f>
        <v>1</v>
      </c>
      <c r="O418" s="41" t="s">
        <v>41</v>
      </c>
      <c r="AC418" s="67">
        <f t="shared" si="212"/>
        <v>1.0045454545454546</v>
      </c>
      <c r="AD418" s="67"/>
    </row>
    <row r="419" spans="1:37" s="47" customFormat="1" ht="37.5" customHeight="1" outlineLevel="1" x14ac:dyDescent="0.25">
      <c r="A419" s="68" t="s">
        <v>168</v>
      </c>
      <c r="B419" s="571" t="s">
        <v>829</v>
      </c>
      <c r="C419" s="571"/>
      <c r="D419" s="571"/>
      <c r="E419" s="571"/>
      <c r="F419" s="571"/>
      <c r="G419" s="571"/>
      <c r="H419" s="69">
        <f>AVERAGE(N420:N422)</f>
        <v>1</v>
      </c>
      <c r="I419" s="69">
        <f>AVERAGE(O420:O422)</f>
        <v>0.89542555800833945</v>
      </c>
      <c r="J419" s="70"/>
      <c r="K419" s="70"/>
      <c r="L419" s="71"/>
      <c r="M419" s="64"/>
      <c r="N419" s="41"/>
      <c r="O419" s="41">
        <f t="shared" si="203"/>
        <v>0.89542555800833945</v>
      </c>
      <c r="P419" s="49"/>
      <c r="Q419" s="49"/>
      <c r="R419" s="104">
        <f>COUNTA(C420:C422)</f>
        <v>3</v>
      </c>
      <c r="S419" s="103">
        <v>0</v>
      </c>
      <c r="T419" s="104">
        <f>COUNTIFS(AC420:AC422,"&gt;1,50")</f>
        <v>1</v>
      </c>
      <c r="U419" s="104">
        <f>COUNTIFS(AC420:AC422,"&gt;=0,995",AC420:AC422,"&lt;=1,5")</f>
        <v>2</v>
      </c>
      <c r="V419" s="104">
        <f>COUNTIFS(AC420:AC422,"&gt;=0,85",AC420:AC422,"&lt;0,995")</f>
        <v>0</v>
      </c>
      <c r="W419" s="104">
        <f>COUNTIFS(AC420:AC422,"&lt;0,85")</f>
        <v>0</v>
      </c>
      <c r="X419" s="52"/>
      <c r="Z419" s="96">
        <f>COUNTIFS(AD420:AD422,"&gt;=1,01")</f>
        <v>1</v>
      </c>
      <c r="AA419" s="96">
        <f>COUNTIFS(AD420:AD422,"&gt;=0,99",AD420:AD422,"&lt;1,01")</f>
        <v>1</v>
      </c>
      <c r="AB419" s="97">
        <f>COUNTIFS(AD420:AD422,"&lt;0,99")</f>
        <v>1</v>
      </c>
      <c r="AC419" s="67"/>
      <c r="AD419" s="67"/>
      <c r="AK419" s="47">
        <f>SUM(T419:X419)-R419</f>
        <v>0</v>
      </c>
    </row>
    <row r="420" spans="1:37" ht="126" customHeight="1" outlineLevel="2" x14ac:dyDescent="0.25">
      <c r="A420" s="262" t="s">
        <v>600</v>
      </c>
      <c r="B420" s="211" t="s">
        <v>830</v>
      </c>
      <c r="C420" s="246" t="s">
        <v>327</v>
      </c>
      <c r="D420" s="272" t="s">
        <v>319</v>
      </c>
      <c r="E420" s="441">
        <v>1359</v>
      </c>
      <c r="F420" s="441">
        <v>557.1</v>
      </c>
      <c r="G420" s="441">
        <v>592.9</v>
      </c>
      <c r="H420" s="286">
        <f t="shared" ref="H420:H422" si="222">G420/F420</f>
        <v>1.0642613534374439</v>
      </c>
      <c r="I420" s="286">
        <f t="shared" ref="I420:I422" si="223">G420/E420</f>
        <v>0.43627667402501835</v>
      </c>
      <c r="J420" s="167" t="s">
        <v>2084</v>
      </c>
      <c r="K420" s="167" t="s">
        <v>41</v>
      </c>
      <c r="L420" s="39" t="s">
        <v>240</v>
      </c>
      <c r="M420" s="40">
        <v>1</v>
      </c>
      <c r="N420" s="41">
        <f t="shared" ref="N420:N422" si="224">IF(H420&gt;1,1,H420)</f>
        <v>1</v>
      </c>
      <c r="O420" s="41">
        <f t="shared" si="203"/>
        <v>0.43627667402501835</v>
      </c>
      <c r="AC420" s="67">
        <f t="shared" si="212"/>
        <v>1.0642613534374439</v>
      </c>
      <c r="AD420" s="67">
        <f t="shared" si="212"/>
        <v>0.43627667402501835</v>
      </c>
    </row>
    <row r="421" spans="1:37" ht="67.5" outlineLevel="2" x14ac:dyDescent="0.25">
      <c r="A421" s="262" t="s">
        <v>601</v>
      </c>
      <c r="B421" s="347" t="s">
        <v>831</v>
      </c>
      <c r="C421" s="246" t="s">
        <v>321</v>
      </c>
      <c r="D421" s="272" t="s">
        <v>319</v>
      </c>
      <c r="E421" s="441">
        <v>100</v>
      </c>
      <c r="F421" s="441">
        <v>45</v>
      </c>
      <c r="G421" s="441">
        <v>100</v>
      </c>
      <c r="H421" s="286">
        <f t="shared" si="222"/>
        <v>2.2222222222222223</v>
      </c>
      <c r="I421" s="286">
        <f t="shared" si="223"/>
        <v>1</v>
      </c>
      <c r="J421" s="167" t="s">
        <v>1457</v>
      </c>
      <c r="K421" s="167" t="s">
        <v>41</v>
      </c>
      <c r="L421" s="39" t="s">
        <v>240</v>
      </c>
      <c r="M421" s="40">
        <v>1</v>
      </c>
      <c r="N421" s="41">
        <f t="shared" si="224"/>
        <v>1</v>
      </c>
      <c r="O421" s="41">
        <f t="shared" si="203"/>
        <v>1</v>
      </c>
      <c r="AC421" s="67">
        <f t="shared" si="212"/>
        <v>2.2222222222222223</v>
      </c>
      <c r="AD421" s="67">
        <f t="shared" si="212"/>
        <v>1</v>
      </c>
    </row>
    <row r="422" spans="1:37" ht="65.25" customHeight="1" outlineLevel="2" x14ac:dyDescent="0.25">
      <c r="A422" s="262" t="s">
        <v>603</v>
      </c>
      <c r="B422" s="211" t="s">
        <v>832</v>
      </c>
      <c r="C422" s="246" t="s">
        <v>343</v>
      </c>
      <c r="D422" s="272" t="s">
        <v>319</v>
      </c>
      <c r="E422" s="441">
        <v>5000</v>
      </c>
      <c r="F422" s="441">
        <v>10000</v>
      </c>
      <c r="G422" s="441">
        <v>10000</v>
      </c>
      <c r="H422" s="286">
        <f t="shared" si="222"/>
        <v>1</v>
      </c>
      <c r="I422" s="286">
        <f t="shared" si="223"/>
        <v>2</v>
      </c>
      <c r="J422" s="167" t="s">
        <v>41</v>
      </c>
      <c r="K422" s="167" t="s">
        <v>41</v>
      </c>
      <c r="L422" s="39" t="s">
        <v>240</v>
      </c>
      <c r="M422" s="40">
        <v>1</v>
      </c>
      <c r="N422" s="41">
        <f t="shared" si="224"/>
        <v>1</v>
      </c>
      <c r="O422" s="41">
        <f t="shared" si="203"/>
        <v>1.25</v>
      </c>
      <c r="AC422" s="67">
        <f t="shared" si="212"/>
        <v>1</v>
      </c>
      <c r="AD422" s="67">
        <f t="shared" si="212"/>
        <v>2</v>
      </c>
    </row>
    <row r="423" spans="1:37" s="47" customFormat="1" ht="24.75" customHeight="1" x14ac:dyDescent="0.25">
      <c r="A423" s="493" t="s">
        <v>169</v>
      </c>
      <c r="B423" s="577" t="s">
        <v>833</v>
      </c>
      <c r="C423" s="577"/>
      <c r="D423" s="577"/>
      <c r="E423" s="577"/>
      <c r="F423" s="577"/>
      <c r="G423" s="577"/>
      <c r="H423" s="494">
        <f>AVERAGE(N424:N427,N429:N433,N435:N437,N438,N440:N441,N443:N446)</f>
        <v>1</v>
      </c>
      <c r="I423" s="494">
        <f>AVERAGE(O424:O427,O429:O433,O435:O437,O438,O440:O441,O443:O446)</f>
        <v>1.0882353950260748</v>
      </c>
      <c r="J423" s="495"/>
      <c r="K423" s="495"/>
      <c r="L423" s="496"/>
      <c r="M423" s="64"/>
      <c r="N423" s="212"/>
      <c r="O423" s="41"/>
      <c r="P423" s="49"/>
      <c r="Q423" s="49"/>
      <c r="R423" s="110">
        <f>COUNTA(C424:C446)</f>
        <v>19</v>
      </c>
      <c r="S423" s="102">
        <f>R423-T423-U423-V423-W423</f>
        <v>3</v>
      </c>
      <c r="T423" s="110">
        <f>COUNTIFS(AC424:AC446,"&gt;1,50")</f>
        <v>3</v>
      </c>
      <c r="U423" s="110">
        <f>COUNTIFS(AC424:AC446,"&gt;=0,995",AC424:AC446,"&lt;=1,5")</f>
        <v>13</v>
      </c>
      <c r="V423" s="110">
        <f>COUNTIFS(AC424:AC446,"&gt;=0,85",AC424:AC446,"&lt;0,995")</f>
        <v>0</v>
      </c>
      <c r="W423" s="110">
        <f>COUNTIFS(AC424:AC446,"&lt;0,85")</f>
        <v>0</v>
      </c>
      <c r="X423" s="49"/>
      <c r="Z423" s="100">
        <f>COUNTIFS(AD424:AD446,"&gt;=1,01")</f>
        <v>7</v>
      </c>
      <c r="AA423" s="100">
        <f>COUNTIFS(AD424:AD446,"&gt;=0,99",AD424:AD446,"&lt;1,01")</f>
        <v>4</v>
      </c>
      <c r="AB423" s="101">
        <f>COUNTIFS(AD424:AD446,"&lt;0,99")</f>
        <v>1</v>
      </c>
      <c r="AC423" s="67"/>
      <c r="AD423" s="67"/>
      <c r="AK423" s="47">
        <f>SUM(T423:X423)-R423</f>
        <v>-3</v>
      </c>
    </row>
    <row r="424" spans="1:37" ht="85.5" customHeight="1" outlineLevel="2" x14ac:dyDescent="0.25">
      <c r="A424" s="262" t="s">
        <v>605</v>
      </c>
      <c r="B424" s="168" t="s">
        <v>1078</v>
      </c>
      <c r="C424" s="167" t="s">
        <v>321</v>
      </c>
      <c r="D424" s="280" t="s">
        <v>302</v>
      </c>
      <c r="E424" s="277">
        <v>7</v>
      </c>
      <c r="F424" s="277">
        <v>10</v>
      </c>
      <c r="G424" s="277">
        <v>0.4</v>
      </c>
      <c r="H424" s="286">
        <f>F424/G424</f>
        <v>25</v>
      </c>
      <c r="I424" s="142">
        <f>E424/G424</f>
        <v>17.5</v>
      </c>
      <c r="J424" s="167" t="s">
        <v>1424</v>
      </c>
      <c r="K424" s="167" t="s">
        <v>41</v>
      </c>
      <c r="L424" s="39" t="s">
        <v>143</v>
      </c>
      <c r="M424" s="40">
        <v>-1</v>
      </c>
      <c r="N424" s="41">
        <v>1</v>
      </c>
      <c r="O424" s="41">
        <f t="shared" si="203"/>
        <v>1.25</v>
      </c>
      <c r="AC424" s="67">
        <f t="shared" si="212"/>
        <v>25</v>
      </c>
      <c r="AD424" s="67">
        <f t="shared" si="212"/>
        <v>17.5</v>
      </c>
    </row>
    <row r="425" spans="1:37" ht="49.5" customHeight="1" outlineLevel="2" x14ac:dyDescent="0.25">
      <c r="A425" s="262" t="s">
        <v>606</v>
      </c>
      <c r="B425" s="168" t="s">
        <v>1077</v>
      </c>
      <c r="C425" s="167" t="s">
        <v>457</v>
      </c>
      <c r="D425" s="167" t="s">
        <v>339</v>
      </c>
      <c r="E425" s="277">
        <v>1</v>
      </c>
      <c r="F425" s="277">
        <v>1</v>
      </c>
      <c r="G425" s="277">
        <v>1</v>
      </c>
      <c r="H425" s="286">
        <f>G425/F425</f>
        <v>1</v>
      </c>
      <c r="I425" s="291">
        <f>G425/E425</f>
        <v>1</v>
      </c>
      <c r="J425" s="167" t="s">
        <v>41</v>
      </c>
      <c r="K425" s="167" t="s">
        <v>41</v>
      </c>
      <c r="L425" s="39" t="s">
        <v>143</v>
      </c>
      <c r="M425" s="40">
        <v>0</v>
      </c>
      <c r="N425" s="41">
        <v>1</v>
      </c>
      <c r="O425" s="41" t="s">
        <v>41</v>
      </c>
      <c r="AC425" s="67">
        <f t="shared" si="212"/>
        <v>1</v>
      </c>
      <c r="AD425" s="67" t="s">
        <v>41</v>
      </c>
    </row>
    <row r="426" spans="1:37" ht="50.25" customHeight="1" outlineLevel="2" x14ac:dyDescent="0.25">
      <c r="A426" s="262" t="s">
        <v>607</v>
      </c>
      <c r="B426" s="168" t="s">
        <v>1079</v>
      </c>
      <c r="C426" s="167" t="s">
        <v>618</v>
      </c>
      <c r="D426" s="280" t="s">
        <v>302</v>
      </c>
      <c r="E426" s="277" t="s">
        <v>619</v>
      </c>
      <c r="F426" s="277" t="s">
        <v>619</v>
      </c>
      <c r="G426" s="277" t="s">
        <v>619</v>
      </c>
      <c r="H426" s="286">
        <v>1</v>
      </c>
      <c r="I426" s="142">
        <v>1</v>
      </c>
      <c r="J426" s="437" t="s">
        <v>1425</v>
      </c>
      <c r="K426" s="167" t="s">
        <v>41</v>
      </c>
      <c r="L426" s="39" t="s">
        <v>143</v>
      </c>
      <c r="M426" s="40">
        <v>-1</v>
      </c>
      <c r="N426" s="41" t="s">
        <v>41</v>
      </c>
      <c r="O426" s="41" t="s">
        <v>41</v>
      </c>
      <c r="AC426" s="67"/>
      <c r="AD426" s="67"/>
    </row>
    <row r="427" spans="1:37" ht="93" customHeight="1" outlineLevel="2" x14ac:dyDescent="0.25">
      <c r="A427" s="262" t="s">
        <v>1846</v>
      </c>
      <c r="B427" s="168" t="s">
        <v>834</v>
      </c>
      <c r="C427" s="167" t="s">
        <v>321</v>
      </c>
      <c r="D427" s="272" t="s">
        <v>319</v>
      </c>
      <c r="E427" s="277">
        <v>97.1</v>
      </c>
      <c r="F427" s="277">
        <v>95</v>
      </c>
      <c r="G427" s="277">
        <v>98.8</v>
      </c>
      <c r="H427" s="286">
        <f>G427/F427</f>
        <v>1.04</v>
      </c>
      <c r="I427" s="142">
        <f>G427/E427</f>
        <v>1.0175077239958805</v>
      </c>
      <c r="J427" s="167" t="s">
        <v>1426</v>
      </c>
      <c r="K427" s="167" t="s">
        <v>41</v>
      </c>
      <c r="L427" s="39" t="s">
        <v>143</v>
      </c>
      <c r="M427" s="40">
        <v>1</v>
      </c>
      <c r="N427" s="41">
        <f>IF(H427&gt;1,1,H427)</f>
        <v>1</v>
      </c>
      <c r="O427" s="41">
        <f t="shared" ref="O427:O429" si="225">IF(I427&gt;1.25,1.25,I427)</f>
        <v>1.0175077239958805</v>
      </c>
      <c r="AC427" s="67">
        <f t="shared" si="212"/>
        <v>1.04</v>
      </c>
      <c r="AD427" s="67">
        <f t="shared" si="212"/>
        <v>1.0175077239958805</v>
      </c>
    </row>
    <row r="428" spans="1:37" s="47" customFormat="1" outlineLevel="1" x14ac:dyDescent="0.25">
      <c r="A428" s="68" t="s">
        <v>170</v>
      </c>
      <c r="B428" s="571" t="s">
        <v>621</v>
      </c>
      <c r="C428" s="571"/>
      <c r="D428" s="571"/>
      <c r="E428" s="571"/>
      <c r="F428" s="571"/>
      <c r="G428" s="571"/>
      <c r="H428" s="69">
        <f>AVERAGE(N429:N433)</f>
        <v>1</v>
      </c>
      <c r="I428" s="69">
        <f>AVERAGE(O429:O433)</f>
        <v>1.2124999999999999</v>
      </c>
      <c r="J428" s="70"/>
      <c r="K428" s="70"/>
      <c r="L428" s="71"/>
      <c r="M428" s="352"/>
      <c r="N428" s="459"/>
      <c r="O428" s="353"/>
      <c r="P428" s="49"/>
      <c r="Q428" s="49"/>
      <c r="R428" s="104">
        <f>COUNTA(C429:C433)</f>
        <v>5</v>
      </c>
      <c r="S428" s="103">
        <v>2</v>
      </c>
      <c r="T428" s="104">
        <f>COUNTIFS(AC429:AC433,"&gt;1,50")</f>
        <v>2</v>
      </c>
      <c r="U428" s="104">
        <f>COUNTIFS(AC429:AC433,"&gt;=0,995",AC429:AC433,"&lt;=1,5")</f>
        <v>1</v>
      </c>
      <c r="V428" s="104">
        <f>COUNTIFS(AC429:AC433,"&gt;=0,85",AC429:AC433,"&lt;0,995")</f>
        <v>0</v>
      </c>
      <c r="W428" s="104">
        <f>COUNTIFS(AC429:AC433,"&lt;0,85")</f>
        <v>0</v>
      </c>
      <c r="X428" s="52">
        <v>2</v>
      </c>
      <c r="Z428" s="96">
        <f>COUNTIFS(AD429:AD433,"&gt;=1,01")</f>
        <v>2</v>
      </c>
      <c r="AA428" s="96">
        <f>COUNTIFS(AD429:AD433,"&gt;=0,99",AD429:AD433,"&lt;1,01")</f>
        <v>0</v>
      </c>
      <c r="AB428" s="97">
        <f>COUNTIFS(AD429:AD433,"&lt;0,99")</f>
        <v>0</v>
      </c>
      <c r="AC428" s="67"/>
      <c r="AD428" s="67"/>
      <c r="AK428" s="47">
        <f>SUM(T428:X428)-R428</f>
        <v>0</v>
      </c>
    </row>
    <row r="429" spans="1:37" ht="82.5" customHeight="1" outlineLevel="2" x14ac:dyDescent="0.25">
      <c r="A429" s="262" t="s">
        <v>608</v>
      </c>
      <c r="B429" s="42" t="s">
        <v>1082</v>
      </c>
      <c r="C429" s="167" t="s">
        <v>321</v>
      </c>
      <c r="D429" s="280" t="s">
        <v>302</v>
      </c>
      <c r="E429" s="277">
        <v>23.5</v>
      </c>
      <c r="F429" s="277">
        <v>32</v>
      </c>
      <c r="G429" s="277">
        <v>20</v>
      </c>
      <c r="H429" s="142">
        <f>F429/G429</f>
        <v>1.6</v>
      </c>
      <c r="I429" s="142">
        <f>E429/G429</f>
        <v>1.175</v>
      </c>
      <c r="J429" s="167" t="s">
        <v>1429</v>
      </c>
      <c r="K429" s="167" t="s">
        <v>41</v>
      </c>
      <c r="L429" s="39" t="s">
        <v>143</v>
      </c>
      <c r="M429" s="40">
        <v>-1</v>
      </c>
      <c r="N429" s="41">
        <f>IF(H429&gt;1,1,H429)</f>
        <v>1</v>
      </c>
      <c r="O429" s="41">
        <f t="shared" si="225"/>
        <v>1.175</v>
      </c>
      <c r="AC429" s="67">
        <f t="shared" si="212"/>
        <v>1.6</v>
      </c>
      <c r="AD429" s="67">
        <f t="shared" si="212"/>
        <v>1.175</v>
      </c>
    </row>
    <row r="430" spans="1:37" ht="96" customHeight="1" outlineLevel="2" x14ac:dyDescent="0.25">
      <c r="A430" s="262" t="s">
        <v>609</v>
      </c>
      <c r="B430" s="42" t="s">
        <v>835</v>
      </c>
      <c r="C430" s="167" t="s">
        <v>321</v>
      </c>
      <c r="D430" s="272" t="s">
        <v>319</v>
      </c>
      <c r="E430" s="277">
        <v>81.5</v>
      </c>
      <c r="F430" s="277">
        <v>83</v>
      </c>
      <c r="G430" s="277">
        <v>83</v>
      </c>
      <c r="H430" s="286">
        <f>G430/F430</f>
        <v>1</v>
      </c>
      <c r="I430" s="142">
        <f>G430/E430</f>
        <v>1.01840490797546</v>
      </c>
      <c r="J430" s="437" t="s">
        <v>1430</v>
      </c>
      <c r="K430" s="167" t="s">
        <v>41</v>
      </c>
      <c r="L430" s="39" t="s">
        <v>143</v>
      </c>
      <c r="M430" s="40">
        <v>1</v>
      </c>
      <c r="N430" s="41" t="s">
        <v>41</v>
      </c>
      <c r="O430" s="41" t="s">
        <v>41</v>
      </c>
      <c r="AC430" s="67" t="s">
        <v>41</v>
      </c>
      <c r="AD430" s="67" t="s">
        <v>41</v>
      </c>
    </row>
    <row r="431" spans="1:37" ht="74.25" customHeight="1" outlineLevel="2" x14ac:dyDescent="0.25">
      <c r="A431" s="262" t="s">
        <v>610</v>
      </c>
      <c r="B431" s="42" t="s">
        <v>836</v>
      </c>
      <c r="C431" s="167" t="s">
        <v>321</v>
      </c>
      <c r="D431" s="272" t="s">
        <v>319</v>
      </c>
      <c r="E431" s="277">
        <v>82.1</v>
      </c>
      <c r="F431" s="277">
        <v>76.5</v>
      </c>
      <c r="G431" s="277">
        <f>F431</f>
        <v>76.5</v>
      </c>
      <c r="H431" s="286">
        <f>G431/F431</f>
        <v>1</v>
      </c>
      <c r="I431" s="142">
        <f>G431/E431</f>
        <v>0.93179049939098668</v>
      </c>
      <c r="J431" s="437" t="s">
        <v>1431</v>
      </c>
      <c r="K431" s="167" t="s">
        <v>41</v>
      </c>
      <c r="L431" s="39" t="s">
        <v>143</v>
      </c>
      <c r="M431" s="40">
        <v>1</v>
      </c>
      <c r="N431" s="41" t="s">
        <v>41</v>
      </c>
      <c r="O431" s="41" t="s">
        <v>41</v>
      </c>
      <c r="AC431" s="67" t="s">
        <v>41</v>
      </c>
      <c r="AD431" s="67" t="s">
        <v>41</v>
      </c>
    </row>
    <row r="432" spans="1:37" ht="74.25" customHeight="1" outlineLevel="2" x14ac:dyDescent="0.25">
      <c r="A432" s="262" t="s">
        <v>611</v>
      </c>
      <c r="B432" s="42" t="s">
        <v>837</v>
      </c>
      <c r="C432" s="167" t="s">
        <v>321</v>
      </c>
      <c r="D432" s="280" t="s">
        <v>302</v>
      </c>
      <c r="E432" s="277">
        <v>0.1</v>
      </c>
      <c r="F432" s="290">
        <v>0.28000000000000003</v>
      </c>
      <c r="G432" s="277">
        <v>0.05</v>
      </c>
      <c r="H432" s="142">
        <f>F432/G432</f>
        <v>5.6000000000000005</v>
      </c>
      <c r="I432" s="142">
        <f>E432/G432</f>
        <v>2</v>
      </c>
      <c r="J432" s="167" t="s">
        <v>1432</v>
      </c>
      <c r="K432" s="167" t="s">
        <v>41</v>
      </c>
      <c r="L432" s="39" t="s">
        <v>143</v>
      </c>
      <c r="M432" s="40">
        <v>-1</v>
      </c>
      <c r="N432" s="41">
        <f>IF(H432&gt;1,1,H432)</f>
        <v>1</v>
      </c>
      <c r="O432" s="41">
        <f t="shared" ref="O432" si="226">IF(I432&gt;1.25,1.25,I432)</f>
        <v>1.25</v>
      </c>
      <c r="AC432" s="67">
        <f t="shared" ref="AC432" si="227">H432</f>
        <v>5.6000000000000005</v>
      </c>
      <c r="AD432" s="67">
        <f t="shared" ref="AD432" si="228">I432</f>
        <v>2</v>
      </c>
    </row>
    <row r="433" spans="1:37" ht="90" customHeight="1" outlineLevel="2" x14ac:dyDescent="0.25">
      <c r="A433" s="262" t="s">
        <v>612</v>
      </c>
      <c r="B433" s="42" t="s">
        <v>1428</v>
      </c>
      <c r="C433" s="167" t="s">
        <v>321</v>
      </c>
      <c r="D433" s="167" t="s">
        <v>339</v>
      </c>
      <c r="E433" s="277" t="s">
        <v>41</v>
      </c>
      <c r="F433" s="284">
        <v>1</v>
      </c>
      <c r="G433" s="284">
        <v>1</v>
      </c>
      <c r="H433" s="142">
        <f>F433/G433</f>
        <v>1</v>
      </c>
      <c r="I433" s="142" t="s">
        <v>41</v>
      </c>
      <c r="J433" s="167" t="s">
        <v>41</v>
      </c>
      <c r="K433" s="167" t="s">
        <v>41</v>
      </c>
      <c r="L433" s="39" t="s">
        <v>143</v>
      </c>
      <c r="M433" s="40">
        <v>0</v>
      </c>
      <c r="N433" s="41">
        <f>IF(H433&gt;1,1,H433)</f>
        <v>1</v>
      </c>
      <c r="O433" s="41" t="s">
        <v>41</v>
      </c>
      <c r="AC433" s="67">
        <f t="shared" si="212"/>
        <v>1</v>
      </c>
      <c r="AD433" s="67" t="str">
        <f t="shared" si="212"/>
        <v>-</v>
      </c>
    </row>
    <row r="434" spans="1:37" s="47" customFormat="1" ht="35.25" customHeight="1" outlineLevel="1" x14ac:dyDescent="0.25">
      <c r="A434" s="68" t="s">
        <v>171</v>
      </c>
      <c r="B434" s="572" t="s">
        <v>626</v>
      </c>
      <c r="C434" s="573"/>
      <c r="D434" s="573"/>
      <c r="E434" s="573"/>
      <c r="F434" s="573"/>
      <c r="G434" s="574"/>
      <c r="H434" s="69">
        <f>AVERAGE(N435:N437,N438)</f>
        <v>1</v>
      </c>
      <c r="I434" s="69">
        <f>AVERAGE(O435:O437,O438)</f>
        <v>1.0384615384615383</v>
      </c>
      <c r="J434" s="70"/>
      <c r="K434" s="70"/>
      <c r="L434" s="71"/>
      <c r="M434" s="64"/>
      <c r="N434" s="41"/>
      <c r="O434" s="41"/>
      <c r="P434" s="49"/>
      <c r="Q434" s="49"/>
      <c r="R434" s="104">
        <f>COUNTA(C435:C438)</f>
        <v>4</v>
      </c>
      <c r="S434" s="103">
        <v>0</v>
      </c>
      <c r="T434" s="104">
        <f>COUNTIFS(AC435:AC438,"&gt;1,50")</f>
        <v>0</v>
      </c>
      <c r="U434" s="104">
        <f>COUNTIFS(AC435:AC438,"&gt;=0,995",AC435:AC438,"&lt;=1,5")</f>
        <v>4</v>
      </c>
      <c r="V434" s="104">
        <f>COUNTIFS(AC435:AC438,"&gt;=0,85",AC435:AC438,"&lt;0,995")</f>
        <v>0</v>
      </c>
      <c r="W434" s="104">
        <f>COUNTIFS(AC435:AC438,"&lt;0,85")</f>
        <v>0</v>
      </c>
      <c r="X434" s="52"/>
      <c r="Z434" s="96">
        <f>COUNTIFS(AD435:AD438,"&gt;=1,01")</f>
        <v>1</v>
      </c>
      <c r="AA434" s="96">
        <f>COUNTIFS(AD435:AD438,"&gt;=0,99",AD435:AD438,"&lt;1,01")</f>
        <v>1</v>
      </c>
      <c r="AB434" s="97">
        <f>COUNTIFS(AD435:AD438,"&lt;0,99")</f>
        <v>0</v>
      </c>
      <c r="AC434" s="67"/>
      <c r="AD434" s="67"/>
      <c r="AK434" s="47">
        <f>SUM(T434:X434)-R434</f>
        <v>0</v>
      </c>
    </row>
    <row r="435" spans="1:37" ht="36.75" customHeight="1" outlineLevel="2" x14ac:dyDescent="0.25">
      <c r="A435" s="262" t="s">
        <v>613</v>
      </c>
      <c r="B435" s="42" t="s">
        <v>838</v>
      </c>
      <c r="C435" s="167" t="s">
        <v>321</v>
      </c>
      <c r="D435" s="272" t="s">
        <v>319</v>
      </c>
      <c r="E435" s="277">
        <v>113.2</v>
      </c>
      <c r="F435" s="277">
        <v>105.3</v>
      </c>
      <c r="G435" s="277">
        <v>113.2</v>
      </c>
      <c r="H435" s="142">
        <f>G435/F435</f>
        <v>1.0750237416904085</v>
      </c>
      <c r="I435" s="291">
        <f>G435/E435</f>
        <v>1</v>
      </c>
      <c r="J435" s="167" t="s">
        <v>1433</v>
      </c>
      <c r="K435" s="167" t="s">
        <v>41</v>
      </c>
      <c r="L435" s="39" t="s">
        <v>143</v>
      </c>
      <c r="M435" s="40">
        <v>1</v>
      </c>
      <c r="N435" s="41">
        <f t="shared" ref="N435:N446" si="229">IF(H435&gt;1,1,H435)</f>
        <v>1</v>
      </c>
      <c r="O435" s="41">
        <f t="shared" ref="O435" si="230">IF(I435&gt;1.25,1.25,I435)</f>
        <v>1</v>
      </c>
      <c r="AC435" s="67">
        <f t="shared" si="212"/>
        <v>1.0750237416904085</v>
      </c>
      <c r="AD435" s="67">
        <f t="shared" si="212"/>
        <v>1</v>
      </c>
    </row>
    <row r="436" spans="1:37" ht="67.5" outlineLevel="2" x14ac:dyDescent="0.25">
      <c r="A436" s="262" t="s">
        <v>614</v>
      </c>
      <c r="B436" s="42" t="s">
        <v>839</v>
      </c>
      <c r="C436" s="167" t="s">
        <v>630</v>
      </c>
      <c r="D436" s="167" t="s">
        <v>339</v>
      </c>
      <c r="E436" s="277">
        <v>1</v>
      </c>
      <c r="F436" s="277">
        <v>1</v>
      </c>
      <c r="G436" s="277">
        <v>1</v>
      </c>
      <c r="H436" s="142">
        <f>G436/F436</f>
        <v>1</v>
      </c>
      <c r="I436" s="291">
        <f>G436/E436</f>
        <v>1</v>
      </c>
      <c r="J436" s="167" t="s">
        <v>41</v>
      </c>
      <c r="K436" s="167" t="s">
        <v>41</v>
      </c>
      <c r="L436" s="39" t="s">
        <v>143</v>
      </c>
      <c r="M436" s="40">
        <v>0</v>
      </c>
      <c r="N436" s="41">
        <f t="shared" si="229"/>
        <v>1</v>
      </c>
      <c r="O436" s="41" t="s">
        <v>41</v>
      </c>
      <c r="AC436" s="67">
        <f t="shared" si="212"/>
        <v>1</v>
      </c>
      <c r="AD436" s="67"/>
    </row>
    <row r="437" spans="1:37" ht="57.75" customHeight="1" outlineLevel="2" x14ac:dyDescent="0.25">
      <c r="A437" s="262" t="s">
        <v>615</v>
      </c>
      <c r="B437" s="42" t="s">
        <v>840</v>
      </c>
      <c r="C437" s="167" t="s">
        <v>630</v>
      </c>
      <c r="D437" s="167" t="s">
        <v>339</v>
      </c>
      <c r="E437" s="277">
        <v>1</v>
      </c>
      <c r="F437" s="277">
        <v>1</v>
      </c>
      <c r="G437" s="277">
        <v>1</v>
      </c>
      <c r="H437" s="142">
        <f>G437/F437</f>
        <v>1</v>
      </c>
      <c r="I437" s="291">
        <f>G437/E437</f>
        <v>1</v>
      </c>
      <c r="J437" s="167" t="s">
        <v>41</v>
      </c>
      <c r="K437" s="167" t="s">
        <v>41</v>
      </c>
      <c r="L437" s="39" t="s">
        <v>143</v>
      </c>
      <c r="M437" s="40">
        <v>0</v>
      </c>
      <c r="N437" s="41">
        <f t="shared" si="229"/>
        <v>1</v>
      </c>
      <c r="O437" s="41" t="s">
        <v>41</v>
      </c>
      <c r="AC437" s="67">
        <f t="shared" si="212"/>
        <v>1</v>
      </c>
      <c r="AD437" s="67"/>
    </row>
    <row r="438" spans="1:37" ht="40.5" customHeight="1" outlineLevel="2" x14ac:dyDescent="0.25">
      <c r="A438" s="262" t="s">
        <v>1847</v>
      </c>
      <c r="B438" s="42" t="s">
        <v>841</v>
      </c>
      <c r="C438" s="167" t="s">
        <v>343</v>
      </c>
      <c r="D438" s="272" t="s">
        <v>319</v>
      </c>
      <c r="E438" s="277">
        <v>13</v>
      </c>
      <c r="F438" s="277">
        <v>13</v>
      </c>
      <c r="G438" s="277">
        <v>14</v>
      </c>
      <c r="H438" s="142">
        <f>G438/F438</f>
        <v>1.0769230769230769</v>
      </c>
      <c r="I438" s="142">
        <f>G438/E438</f>
        <v>1.0769230769230769</v>
      </c>
      <c r="J438" s="167" t="s">
        <v>1248</v>
      </c>
      <c r="K438" s="167" t="s">
        <v>41</v>
      </c>
      <c r="L438" s="39" t="s">
        <v>143</v>
      </c>
      <c r="M438" s="40">
        <v>1</v>
      </c>
      <c r="N438" s="41">
        <f t="shared" si="229"/>
        <v>1</v>
      </c>
      <c r="O438" s="41">
        <f t="shared" ref="O438:O446" si="231">IF(I438&gt;1.25,1.25,I438)</f>
        <v>1.0769230769230769</v>
      </c>
      <c r="AC438" s="67">
        <f t="shared" si="212"/>
        <v>1.0769230769230769</v>
      </c>
      <c r="AD438" s="67">
        <f t="shared" si="212"/>
        <v>1.0769230769230769</v>
      </c>
    </row>
    <row r="439" spans="1:37" s="47" customFormat="1" ht="36" customHeight="1" outlineLevel="1" x14ac:dyDescent="0.25">
      <c r="A439" s="68" t="s">
        <v>1848</v>
      </c>
      <c r="B439" s="571" t="s">
        <v>842</v>
      </c>
      <c r="C439" s="571"/>
      <c r="D439" s="571"/>
      <c r="E439" s="571"/>
      <c r="F439" s="571"/>
      <c r="G439" s="571"/>
      <c r="H439" s="69">
        <f>AVERAGE(N440:N441)</f>
        <v>1</v>
      </c>
      <c r="I439" s="69">
        <f>AVERAGE(O440:O441)</f>
        <v>1</v>
      </c>
      <c r="J439" s="70"/>
      <c r="K439" s="70"/>
      <c r="L439" s="71"/>
      <c r="M439" s="64"/>
      <c r="N439" s="41"/>
      <c r="O439" s="41"/>
      <c r="P439" s="49"/>
      <c r="Q439" s="49"/>
      <c r="R439" s="104">
        <f>COUNTA(C440:C441)</f>
        <v>2</v>
      </c>
      <c r="S439" s="103">
        <v>0</v>
      </c>
      <c r="T439" s="104">
        <f>COUNTIFS(AC440:AC441,"&gt;1,50")</f>
        <v>0</v>
      </c>
      <c r="U439" s="104">
        <f>COUNTIFS(AC440:AC441,"&gt;=0,995",AC440:AC441,"&lt;=1,5")</f>
        <v>2</v>
      </c>
      <c r="V439" s="104">
        <f>COUNTIFS(AC440:AC441,"&gt;=0,85",AC440:AC441,"&lt;0,995")</f>
        <v>0</v>
      </c>
      <c r="W439" s="104">
        <f>COUNTIFS(AC440:AC441,"&lt;0,85")</f>
        <v>0</v>
      </c>
      <c r="X439" s="52"/>
      <c r="Z439" s="96">
        <f>COUNTIFS(AD440:AD441,"&gt;=1,01")</f>
        <v>0</v>
      </c>
      <c r="AA439" s="96">
        <f>COUNTIFS(AD440:AD441,"&gt;=0,99",AD440:AD441,"&lt;1,01")</f>
        <v>2</v>
      </c>
      <c r="AB439" s="97">
        <f>COUNTIFS(AD440:AD441,"&lt;0,99")</f>
        <v>0</v>
      </c>
      <c r="AC439" s="67"/>
      <c r="AD439" s="67"/>
      <c r="AK439" s="47">
        <f>SUM(T439:X439)-R439</f>
        <v>0</v>
      </c>
    </row>
    <row r="440" spans="1:37" ht="42" customHeight="1" outlineLevel="2" x14ac:dyDescent="0.25">
      <c r="A440" s="262" t="s">
        <v>1849</v>
      </c>
      <c r="B440" s="168" t="s">
        <v>843</v>
      </c>
      <c r="C440" s="167" t="s">
        <v>321</v>
      </c>
      <c r="D440" s="272" t="s">
        <v>319</v>
      </c>
      <c r="E440" s="277">
        <v>100</v>
      </c>
      <c r="F440" s="277">
        <v>97.6</v>
      </c>
      <c r="G440" s="277">
        <v>100</v>
      </c>
      <c r="H440" s="142">
        <f>G440/F440</f>
        <v>1.0245901639344264</v>
      </c>
      <c r="I440" s="142">
        <f>G440/E440</f>
        <v>1</v>
      </c>
      <c r="J440" s="167" t="s">
        <v>41</v>
      </c>
      <c r="K440" s="167" t="s">
        <v>41</v>
      </c>
      <c r="L440" s="65" t="s">
        <v>173</v>
      </c>
      <c r="M440" s="40">
        <v>1</v>
      </c>
      <c r="N440" s="41">
        <f t="shared" si="229"/>
        <v>1</v>
      </c>
      <c r="O440" s="41">
        <f t="shared" si="231"/>
        <v>1</v>
      </c>
      <c r="AC440" s="67">
        <f t="shared" si="212"/>
        <v>1.0245901639344264</v>
      </c>
      <c r="AD440" s="67">
        <f t="shared" si="212"/>
        <v>1</v>
      </c>
    </row>
    <row r="441" spans="1:37" ht="68.25" customHeight="1" outlineLevel="2" x14ac:dyDescent="0.25">
      <c r="A441" s="262" t="s">
        <v>1850</v>
      </c>
      <c r="B441" s="42" t="s">
        <v>844</v>
      </c>
      <c r="C441" s="167" t="s">
        <v>321</v>
      </c>
      <c r="D441" s="272" t="s">
        <v>319</v>
      </c>
      <c r="E441" s="277">
        <v>100</v>
      </c>
      <c r="F441" s="277">
        <v>99.5</v>
      </c>
      <c r="G441" s="277">
        <v>100</v>
      </c>
      <c r="H441" s="142">
        <f>G441/F441</f>
        <v>1.0050251256281406</v>
      </c>
      <c r="I441" s="142">
        <f>G441/E441</f>
        <v>1</v>
      </c>
      <c r="J441" s="167" t="s">
        <v>41</v>
      </c>
      <c r="K441" s="167" t="s">
        <v>41</v>
      </c>
      <c r="L441" s="65" t="s">
        <v>173</v>
      </c>
      <c r="M441" s="40">
        <v>1</v>
      </c>
      <c r="N441" s="41">
        <f t="shared" si="229"/>
        <v>1</v>
      </c>
      <c r="O441" s="41">
        <f t="shared" si="231"/>
        <v>1</v>
      </c>
      <c r="AC441" s="67">
        <f t="shared" si="212"/>
        <v>1.0050251256281406</v>
      </c>
      <c r="AD441" s="67">
        <f t="shared" si="212"/>
        <v>1</v>
      </c>
    </row>
    <row r="442" spans="1:37" s="47" customFormat="1" ht="24.75" customHeight="1" outlineLevel="1" x14ac:dyDescent="0.25">
      <c r="A442" s="68" t="s">
        <v>1851</v>
      </c>
      <c r="B442" s="571" t="s">
        <v>845</v>
      </c>
      <c r="C442" s="571"/>
      <c r="D442" s="571"/>
      <c r="E442" s="571"/>
      <c r="F442" s="571"/>
      <c r="G442" s="571"/>
      <c r="H442" s="69">
        <f>AVERAGE(N443:N446)</f>
        <v>1</v>
      </c>
      <c r="I442" s="69">
        <f>AVERAGE(O443:O446)</f>
        <v>1.0723484848484848</v>
      </c>
      <c r="J442" s="70"/>
      <c r="K442" s="70"/>
      <c r="L442" s="71"/>
      <c r="M442" s="64"/>
      <c r="N442" s="41"/>
      <c r="O442" s="41"/>
      <c r="P442" s="49"/>
      <c r="Q442" s="49"/>
      <c r="R442" s="104">
        <f>COUNTA(C443:C446)</f>
        <v>4</v>
      </c>
      <c r="S442" s="103">
        <v>0</v>
      </c>
      <c r="T442" s="104">
        <f>COUNTIFS(AC443:AC446,"&gt;1,50")</f>
        <v>0</v>
      </c>
      <c r="U442" s="104">
        <f>COUNTIFS(AC443:AC446,"&gt;=0,995",AC443:AC446,"&lt;=1,5")</f>
        <v>4</v>
      </c>
      <c r="V442" s="104">
        <f>COUNTIFS(AC443:AC446,"&gt;=0,85",AC443:AC446,"&lt;0,995")</f>
        <v>0</v>
      </c>
      <c r="W442" s="104">
        <f>COUNTIFS(AC443:AC446,"&lt;0,85")</f>
        <v>0</v>
      </c>
      <c r="X442" s="52"/>
      <c r="Z442" s="96">
        <f>COUNTIFS(AD443:AD446,"&gt;=1,01")</f>
        <v>2</v>
      </c>
      <c r="AA442" s="96">
        <f>COUNTIFS(AD443:AD446,"&gt;=0,99",AD443:AD446,"&lt;1,01")</f>
        <v>1</v>
      </c>
      <c r="AB442" s="97">
        <f>COUNTIFS(AD443:AD446,"&lt;0,99")</f>
        <v>1</v>
      </c>
      <c r="AC442" s="67"/>
      <c r="AD442" s="67"/>
      <c r="AK442" s="47">
        <f>SUM(T442:X442)-R442</f>
        <v>0</v>
      </c>
    </row>
    <row r="443" spans="1:37" ht="33.75" outlineLevel="2" x14ac:dyDescent="0.25">
      <c r="A443" s="262" t="s">
        <v>1852</v>
      </c>
      <c r="B443" s="168" t="s">
        <v>846</v>
      </c>
      <c r="C443" s="167" t="s">
        <v>343</v>
      </c>
      <c r="D443" s="272" t="s">
        <v>319</v>
      </c>
      <c r="E443" s="277">
        <v>3</v>
      </c>
      <c r="F443" s="277">
        <v>2.9</v>
      </c>
      <c r="G443" s="277">
        <v>2.9</v>
      </c>
      <c r="H443" s="286">
        <f>G443/F443</f>
        <v>1</v>
      </c>
      <c r="I443" s="291">
        <f>G443/E443</f>
        <v>0.96666666666666667</v>
      </c>
      <c r="J443" s="167" t="s">
        <v>41</v>
      </c>
      <c r="K443" s="167" t="s">
        <v>41</v>
      </c>
      <c r="L443" s="39" t="s">
        <v>850</v>
      </c>
      <c r="M443" s="40">
        <v>1</v>
      </c>
      <c r="N443" s="41">
        <f t="shared" si="229"/>
        <v>1</v>
      </c>
      <c r="O443" s="41">
        <f t="shared" si="231"/>
        <v>0.96666666666666667</v>
      </c>
      <c r="AC443" s="67">
        <f t="shared" si="212"/>
        <v>1</v>
      </c>
      <c r="AD443" s="67">
        <f t="shared" si="212"/>
        <v>0.96666666666666667</v>
      </c>
    </row>
    <row r="444" spans="1:37" ht="36.75" customHeight="1" outlineLevel="2" x14ac:dyDescent="0.25">
      <c r="A444" s="262" t="s">
        <v>1853</v>
      </c>
      <c r="B444" s="168" t="s">
        <v>847</v>
      </c>
      <c r="C444" s="167" t="s">
        <v>321</v>
      </c>
      <c r="D444" s="272" t="s">
        <v>319</v>
      </c>
      <c r="E444" s="277">
        <v>11</v>
      </c>
      <c r="F444" s="277">
        <v>11</v>
      </c>
      <c r="G444" s="277">
        <v>11</v>
      </c>
      <c r="H444" s="286">
        <f>G444/F444</f>
        <v>1</v>
      </c>
      <c r="I444" s="291">
        <f>G444/E444</f>
        <v>1</v>
      </c>
      <c r="J444" s="167" t="s">
        <v>41</v>
      </c>
      <c r="K444" s="167" t="s">
        <v>41</v>
      </c>
      <c r="L444" s="39" t="s">
        <v>850</v>
      </c>
      <c r="M444" s="40">
        <v>1</v>
      </c>
      <c r="N444" s="41">
        <f t="shared" si="229"/>
        <v>1</v>
      </c>
      <c r="O444" s="41">
        <f t="shared" si="231"/>
        <v>1</v>
      </c>
      <c r="AC444" s="67">
        <f t="shared" si="212"/>
        <v>1</v>
      </c>
      <c r="AD444" s="67">
        <f t="shared" si="212"/>
        <v>1</v>
      </c>
    </row>
    <row r="445" spans="1:37" ht="71.25" customHeight="1" outlineLevel="2" x14ac:dyDescent="0.25">
      <c r="A445" s="262" t="s">
        <v>1854</v>
      </c>
      <c r="B445" s="168" t="s">
        <v>848</v>
      </c>
      <c r="C445" s="167" t="s">
        <v>321</v>
      </c>
      <c r="D445" s="272" t="s">
        <v>319</v>
      </c>
      <c r="E445" s="277">
        <v>5.3</v>
      </c>
      <c r="F445" s="277">
        <v>8</v>
      </c>
      <c r="G445" s="277">
        <v>9.3000000000000007</v>
      </c>
      <c r="H445" s="286">
        <f>G445/F445</f>
        <v>1.1625000000000001</v>
      </c>
      <c r="I445" s="291">
        <f>G445/E445</f>
        <v>1.7547169811320757</v>
      </c>
      <c r="J445" s="167" t="s">
        <v>1434</v>
      </c>
      <c r="K445" s="167" t="s">
        <v>41</v>
      </c>
      <c r="L445" s="39" t="s">
        <v>850</v>
      </c>
      <c r="M445" s="40">
        <v>1</v>
      </c>
      <c r="N445" s="41">
        <f t="shared" si="229"/>
        <v>1</v>
      </c>
      <c r="O445" s="41">
        <f t="shared" si="231"/>
        <v>1.25</v>
      </c>
      <c r="AC445" s="67">
        <f t="shared" si="212"/>
        <v>1.1625000000000001</v>
      </c>
      <c r="AD445" s="67">
        <f t="shared" si="212"/>
        <v>1.7547169811320757</v>
      </c>
    </row>
    <row r="446" spans="1:37" ht="63" customHeight="1" outlineLevel="2" x14ac:dyDescent="0.25">
      <c r="A446" s="262" t="s">
        <v>1855</v>
      </c>
      <c r="B446" s="168" t="s">
        <v>849</v>
      </c>
      <c r="C446" s="167" t="s">
        <v>321</v>
      </c>
      <c r="D446" s="272" t="s">
        <v>319</v>
      </c>
      <c r="E446" s="277">
        <v>11</v>
      </c>
      <c r="F446" s="277">
        <v>11.5</v>
      </c>
      <c r="G446" s="277">
        <v>11.8</v>
      </c>
      <c r="H446" s="286">
        <f>G446/F446</f>
        <v>1.0260869565217392</v>
      </c>
      <c r="I446" s="291">
        <f>G446/E446</f>
        <v>1.0727272727272728</v>
      </c>
      <c r="J446" s="167" t="s">
        <v>1435</v>
      </c>
      <c r="K446" s="167" t="s">
        <v>41</v>
      </c>
      <c r="L446" s="39" t="s">
        <v>850</v>
      </c>
      <c r="M446" s="40">
        <v>1</v>
      </c>
      <c r="N446" s="41">
        <f t="shared" si="229"/>
        <v>1</v>
      </c>
      <c r="O446" s="41">
        <f t="shared" si="231"/>
        <v>1.0727272727272728</v>
      </c>
      <c r="AC446" s="67">
        <f t="shared" si="212"/>
        <v>1.0260869565217392</v>
      </c>
      <c r="AD446" s="67">
        <f t="shared" si="212"/>
        <v>1.0727272727272728</v>
      </c>
    </row>
    <row r="447" spans="1:37" s="47" customFormat="1" ht="17.25" customHeight="1" x14ac:dyDescent="0.25">
      <c r="A447" s="493" t="s">
        <v>172</v>
      </c>
      <c r="B447" s="577" t="s">
        <v>660</v>
      </c>
      <c r="C447" s="577"/>
      <c r="D447" s="577"/>
      <c r="E447" s="577"/>
      <c r="F447" s="577"/>
      <c r="G447" s="577"/>
      <c r="H447" s="494">
        <f>AVERAGE(N448:N455,N457:N466,N468:N474,N476:N485,N487:N490,N492:N493)</f>
        <v>0.96049729949899765</v>
      </c>
      <c r="I447" s="494">
        <f>AVERAGE(O448:O455,O457:O466,O468:O474,O476:O485,O487:O490,O492:O493)</f>
        <v>0.96729950774152351</v>
      </c>
      <c r="J447" s="495"/>
      <c r="K447" s="495"/>
      <c r="L447" s="496"/>
      <c r="M447" s="132"/>
      <c r="N447" s="212"/>
      <c r="O447" s="212"/>
      <c r="P447" s="49"/>
      <c r="Q447" s="49"/>
      <c r="R447" s="110">
        <f>COUNTA(C448:C493)</f>
        <v>41</v>
      </c>
      <c r="S447" s="102">
        <f>R447-T447-U447-V447-W447</f>
        <v>1</v>
      </c>
      <c r="T447" s="110">
        <f>COUNTIFS(AC448:AC493,"&gt;1,50")</f>
        <v>4</v>
      </c>
      <c r="U447" s="110">
        <f>COUNTIFS(AC448:AC493,"&gt;=0,995",AC448:AC493,"&lt;=1,5")</f>
        <v>31</v>
      </c>
      <c r="V447" s="110">
        <f>COUNTIFS(AC448:AC493,"&gt;=0,85",AC448:AC493,"&lt;0,995")</f>
        <v>2</v>
      </c>
      <c r="W447" s="110">
        <f>COUNTIFS(AC448:AC493,"&lt;0,85")</f>
        <v>3</v>
      </c>
      <c r="X447" s="49"/>
      <c r="Z447" s="100">
        <f>COUNTIFS(AD448:AD493,"&gt;=1,01")</f>
        <v>10</v>
      </c>
      <c r="AA447" s="100">
        <f>COUNTIFS(AD448:AD493,"&gt;=0,99",AD448:AD493,"&lt;1,01")</f>
        <v>16</v>
      </c>
      <c r="AB447" s="101">
        <f>COUNTIFS(AD448:AD493,"&lt;0,99")</f>
        <v>8</v>
      </c>
      <c r="AC447" s="67"/>
      <c r="AD447" s="67"/>
      <c r="AK447" s="47">
        <f>SUM(T447:X447)-R447</f>
        <v>-1</v>
      </c>
    </row>
    <row r="448" spans="1:37" ht="225" outlineLevel="2" x14ac:dyDescent="0.25">
      <c r="A448" s="262" t="s">
        <v>616</v>
      </c>
      <c r="B448" s="163" t="s">
        <v>851</v>
      </c>
      <c r="C448" s="162" t="s">
        <v>321</v>
      </c>
      <c r="D448" s="272" t="s">
        <v>319</v>
      </c>
      <c r="E448" s="162">
        <v>73</v>
      </c>
      <c r="F448" s="162">
        <v>25</v>
      </c>
      <c r="G448" s="162">
        <v>38</v>
      </c>
      <c r="H448" s="286">
        <f>G448/F448</f>
        <v>1.52</v>
      </c>
      <c r="I448" s="286">
        <f>G448/E448</f>
        <v>0.52054794520547942</v>
      </c>
      <c r="J448" s="162" t="s">
        <v>1479</v>
      </c>
      <c r="K448" s="162" t="s">
        <v>41</v>
      </c>
      <c r="L448" s="39" t="s">
        <v>182</v>
      </c>
      <c r="M448" s="40">
        <v>1</v>
      </c>
      <c r="N448" s="41">
        <f t="shared" ref="N448:N493" si="232">IF(H448&gt;1,1,H448)</f>
        <v>1</v>
      </c>
      <c r="O448" s="41">
        <f>IF(I448&gt;1.25,1.25,I448)</f>
        <v>0.52054794520547942</v>
      </c>
      <c r="AC448" s="67">
        <f t="shared" si="212"/>
        <v>1.52</v>
      </c>
      <c r="AD448" s="67">
        <f t="shared" si="212"/>
        <v>0.52054794520547942</v>
      </c>
    </row>
    <row r="449" spans="1:37" ht="67.5" outlineLevel="2" x14ac:dyDescent="0.25">
      <c r="A449" s="262" t="s">
        <v>617</v>
      </c>
      <c r="B449" s="163" t="s">
        <v>638</v>
      </c>
      <c r="C449" s="162" t="s">
        <v>321</v>
      </c>
      <c r="D449" s="272" t="s">
        <v>319</v>
      </c>
      <c r="E449" s="162">
        <v>100</v>
      </c>
      <c r="F449" s="162">
        <v>100</v>
      </c>
      <c r="G449" s="162">
        <v>100</v>
      </c>
      <c r="H449" s="286">
        <f t="shared" ref="H449:H455" si="233">G449/F449</f>
        <v>1</v>
      </c>
      <c r="I449" s="286">
        <f t="shared" ref="I449:I454" si="234">G449/E449</f>
        <v>1</v>
      </c>
      <c r="J449" s="162" t="s">
        <v>41</v>
      </c>
      <c r="K449" s="162" t="s">
        <v>41</v>
      </c>
      <c r="L449" s="39" t="s">
        <v>1484</v>
      </c>
      <c r="M449" s="40">
        <v>1</v>
      </c>
      <c r="N449" s="41">
        <f t="shared" si="232"/>
        <v>1</v>
      </c>
      <c r="O449" s="41">
        <f t="shared" ref="O449:O490" si="235">IF(I449&gt;1.25,1.25,I449)</f>
        <v>1</v>
      </c>
      <c r="AC449" s="67">
        <f t="shared" si="212"/>
        <v>1</v>
      </c>
      <c r="AD449" s="67">
        <f t="shared" si="212"/>
        <v>1</v>
      </c>
    </row>
    <row r="450" spans="1:37" ht="76.5" customHeight="1" outlineLevel="2" x14ac:dyDescent="0.25">
      <c r="A450" s="262" t="s">
        <v>620</v>
      </c>
      <c r="B450" s="163" t="s">
        <v>852</v>
      </c>
      <c r="C450" s="162" t="s">
        <v>321</v>
      </c>
      <c r="D450" s="272" t="s">
        <v>319</v>
      </c>
      <c r="E450" s="162">
        <v>100</v>
      </c>
      <c r="F450" s="162">
        <v>100</v>
      </c>
      <c r="G450" s="162">
        <v>100</v>
      </c>
      <c r="H450" s="286">
        <f t="shared" si="233"/>
        <v>1</v>
      </c>
      <c r="I450" s="286">
        <f t="shared" si="234"/>
        <v>1</v>
      </c>
      <c r="J450" s="162" t="s">
        <v>41</v>
      </c>
      <c r="K450" s="162" t="s">
        <v>41</v>
      </c>
      <c r="L450" s="39" t="s">
        <v>858</v>
      </c>
      <c r="M450" s="40">
        <v>1</v>
      </c>
      <c r="N450" s="41">
        <f t="shared" si="232"/>
        <v>1</v>
      </c>
      <c r="O450" s="41">
        <f t="shared" si="235"/>
        <v>1</v>
      </c>
      <c r="AC450" s="67">
        <f t="shared" si="212"/>
        <v>1</v>
      </c>
      <c r="AD450" s="67">
        <f t="shared" si="212"/>
        <v>1</v>
      </c>
    </row>
    <row r="451" spans="1:37" ht="56.25" outlineLevel="2" x14ac:dyDescent="0.25">
      <c r="A451" s="262" t="s">
        <v>1856</v>
      </c>
      <c r="B451" s="163" t="s">
        <v>853</v>
      </c>
      <c r="C451" s="164" t="s">
        <v>321</v>
      </c>
      <c r="D451" s="272" t="s">
        <v>319</v>
      </c>
      <c r="E451" s="162">
        <v>95</v>
      </c>
      <c r="F451" s="162">
        <v>95</v>
      </c>
      <c r="G451" s="162">
        <v>95.8</v>
      </c>
      <c r="H451" s="286">
        <f t="shared" si="233"/>
        <v>1.0084210526315789</v>
      </c>
      <c r="I451" s="286">
        <f t="shared" si="234"/>
        <v>1.0084210526315789</v>
      </c>
      <c r="J451" s="162" t="s">
        <v>1480</v>
      </c>
      <c r="K451" s="162" t="s">
        <v>41</v>
      </c>
      <c r="L451" s="39" t="s">
        <v>858</v>
      </c>
      <c r="M451" s="40">
        <v>1</v>
      </c>
      <c r="N451" s="41">
        <f t="shared" si="232"/>
        <v>1</v>
      </c>
      <c r="O451" s="41">
        <f t="shared" si="235"/>
        <v>1.0084210526315789</v>
      </c>
      <c r="AC451" s="67">
        <f t="shared" si="212"/>
        <v>1.0084210526315789</v>
      </c>
      <c r="AD451" s="67">
        <f t="shared" si="212"/>
        <v>1.0084210526315789</v>
      </c>
    </row>
    <row r="452" spans="1:37" ht="90" outlineLevel="2" x14ac:dyDescent="0.25">
      <c r="A452" s="262" t="s">
        <v>1857</v>
      </c>
      <c r="B452" s="163" t="s">
        <v>854</v>
      </c>
      <c r="C452" s="162" t="s">
        <v>321</v>
      </c>
      <c r="D452" s="272" t="s">
        <v>319</v>
      </c>
      <c r="E452" s="162">
        <v>95</v>
      </c>
      <c r="F452" s="162">
        <v>93</v>
      </c>
      <c r="G452" s="162">
        <v>98.77</v>
      </c>
      <c r="H452" s="286">
        <f t="shared" si="233"/>
        <v>1.0620430107526881</v>
      </c>
      <c r="I452" s="286">
        <f t="shared" si="234"/>
        <v>1.0396842105263158</v>
      </c>
      <c r="J452" s="162" t="s">
        <v>1481</v>
      </c>
      <c r="K452" s="162" t="s">
        <v>41</v>
      </c>
      <c r="L452" s="39" t="s">
        <v>1485</v>
      </c>
      <c r="M452" s="40">
        <v>1</v>
      </c>
      <c r="N452" s="41">
        <f t="shared" si="232"/>
        <v>1</v>
      </c>
      <c r="O452" s="41">
        <f t="shared" si="235"/>
        <v>1.0396842105263158</v>
      </c>
      <c r="AC452" s="67">
        <f t="shared" si="212"/>
        <v>1.0620430107526881</v>
      </c>
      <c r="AD452" s="67">
        <f t="shared" si="212"/>
        <v>1.0396842105263158</v>
      </c>
    </row>
    <row r="453" spans="1:37" ht="45" outlineLevel="2" x14ac:dyDescent="0.25">
      <c r="A453" s="262" t="s">
        <v>1858</v>
      </c>
      <c r="B453" s="163" t="s">
        <v>855</v>
      </c>
      <c r="C453" s="162" t="s">
        <v>321</v>
      </c>
      <c r="D453" s="272" t="s">
        <v>319</v>
      </c>
      <c r="E453" s="162">
        <v>70.459999999999994</v>
      </c>
      <c r="F453" s="162">
        <v>70.52</v>
      </c>
      <c r="G453" s="162">
        <v>70.52</v>
      </c>
      <c r="H453" s="286">
        <f t="shared" si="233"/>
        <v>1</v>
      </c>
      <c r="I453" s="286">
        <f t="shared" si="234"/>
        <v>1.0008515469770083</v>
      </c>
      <c r="J453" s="162" t="s">
        <v>1486</v>
      </c>
      <c r="K453" s="162" t="s">
        <v>41</v>
      </c>
      <c r="L453" s="39" t="s">
        <v>1485</v>
      </c>
      <c r="M453" s="40">
        <v>1</v>
      </c>
      <c r="N453" s="41" t="s">
        <v>41</v>
      </c>
      <c r="O453" s="41" t="s">
        <v>41</v>
      </c>
      <c r="AC453" s="67"/>
      <c r="AD453" s="67"/>
    </row>
    <row r="454" spans="1:37" ht="56.25" outlineLevel="2" x14ac:dyDescent="0.25">
      <c r="A454" s="262" t="s">
        <v>1859</v>
      </c>
      <c r="B454" s="163" t="s">
        <v>639</v>
      </c>
      <c r="C454" s="162" t="s">
        <v>321</v>
      </c>
      <c r="D454" s="272" t="s">
        <v>319</v>
      </c>
      <c r="E454" s="162">
        <v>77</v>
      </c>
      <c r="F454" s="162">
        <v>78</v>
      </c>
      <c r="G454" s="162">
        <v>78.5</v>
      </c>
      <c r="H454" s="286">
        <f t="shared" si="233"/>
        <v>1.0064102564102564</v>
      </c>
      <c r="I454" s="286">
        <f t="shared" si="234"/>
        <v>1.0194805194805194</v>
      </c>
      <c r="J454" s="162" t="s">
        <v>1482</v>
      </c>
      <c r="K454" s="162" t="s">
        <v>41</v>
      </c>
      <c r="L454" s="39" t="s">
        <v>682</v>
      </c>
      <c r="M454" s="40">
        <v>1</v>
      </c>
      <c r="N454" s="41">
        <f t="shared" si="232"/>
        <v>1</v>
      </c>
      <c r="O454" s="41">
        <f t="shared" si="235"/>
        <v>1.0194805194805194</v>
      </c>
      <c r="AC454" s="67">
        <f t="shared" si="212"/>
        <v>1.0064102564102564</v>
      </c>
      <c r="AD454" s="67">
        <f t="shared" si="212"/>
        <v>1.0194805194805194</v>
      </c>
    </row>
    <row r="455" spans="1:37" ht="67.5" outlineLevel="2" x14ac:dyDescent="0.25">
      <c r="A455" s="262" t="s">
        <v>1860</v>
      </c>
      <c r="B455" s="170" t="s">
        <v>1477</v>
      </c>
      <c r="C455" s="162" t="s">
        <v>321</v>
      </c>
      <c r="D455" s="272" t="s">
        <v>319</v>
      </c>
      <c r="E455" s="162" t="s">
        <v>1478</v>
      </c>
      <c r="F455" s="162">
        <v>80</v>
      </c>
      <c r="G455" s="162">
        <v>97.2</v>
      </c>
      <c r="H455" s="286">
        <f t="shared" si="233"/>
        <v>1.2150000000000001</v>
      </c>
      <c r="I455" s="286" t="s">
        <v>41</v>
      </c>
      <c r="J455" s="162" t="s">
        <v>1483</v>
      </c>
      <c r="K455" s="162" t="s">
        <v>41</v>
      </c>
      <c r="L455" s="39" t="s">
        <v>858</v>
      </c>
      <c r="M455" s="40">
        <v>1</v>
      </c>
      <c r="N455" s="41">
        <f t="shared" si="232"/>
        <v>1</v>
      </c>
      <c r="O455" s="41" t="s">
        <v>41</v>
      </c>
      <c r="AC455" s="67">
        <f t="shared" si="212"/>
        <v>1.2150000000000001</v>
      </c>
      <c r="AD455" s="67"/>
    </row>
    <row r="456" spans="1:37" s="47" customFormat="1" outlineLevel="1" x14ac:dyDescent="0.25">
      <c r="A456" s="68" t="s">
        <v>174</v>
      </c>
      <c r="B456" s="572" t="s">
        <v>640</v>
      </c>
      <c r="C456" s="573"/>
      <c r="D456" s="573"/>
      <c r="E456" s="573"/>
      <c r="F456" s="573"/>
      <c r="G456" s="574"/>
      <c r="H456" s="69">
        <f>AVERAGE(N457:N466)</f>
        <v>0.89890000000000003</v>
      </c>
      <c r="I456" s="69">
        <f>AVERAGE(O457:O466)</f>
        <v>0.89364872627372627</v>
      </c>
      <c r="J456" s="70"/>
      <c r="K456" s="70"/>
      <c r="L456" s="71"/>
      <c r="M456" s="64"/>
      <c r="N456" s="41"/>
      <c r="O456" s="41"/>
      <c r="P456" s="49"/>
      <c r="Q456" s="49"/>
      <c r="R456" s="104">
        <f>COUNTA(C457:C466)</f>
        <v>10</v>
      </c>
      <c r="S456" s="103">
        <v>0</v>
      </c>
      <c r="T456" s="104">
        <f>COUNTIFS(AC457:AC466,"&gt;1,50")</f>
        <v>3</v>
      </c>
      <c r="U456" s="104">
        <f>COUNTIFS(AC457:AC466,"&gt;=0,995",AC457:AC466,"&lt;=1,5")</f>
        <v>5</v>
      </c>
      <c r="V456" s="104">
        <f>COUNTIFS(AC457:AC466,"&gt;=0,85",AC457:AC466,"&lt;0,995")</f>
        <v>1</v>
      </c>
      <c r="W456" s="104">
        <f>COUNTIFS(AC457:AC466,"&lt;0,85")</f>
        <v>1</v>
      </c>
      <c r="X456" s="52"/>
      <c r="Z456" s="96">
        <f>COUNTIFS(AD457:AD466,"&gt;=1,01")</f>
        <v>2</v>
      </c>
      <c r="AA456" s="96">
        <f>COUNTIFS(AD457:AD466,"&gt;=0,99",AD457:AD466,"&lt;1,01")</f>
        <v>3</v>
      </c>
      <c r="AB456" s="97">
        <f>COUNTIFS(AD457:AD466,"&lt;0,99")</f>
        <v>3</v>
      </c>
      <c r="AC456" s="67"/>
      <c r="AD456" s="67"/>
      <c r="AK456" s="47">
        <f>SUM(T456:X456)-R456</f>
        <v>0</v>
      </c>
    </row>
    <row r="457" spans="1:37" ht="80.25" customHeight="1" outlineLevel="2" x14ac:dyDescent="0.25">
      <c r="A457" s="262" t="s">
        <v>622</v>
      </c>
      <c r="B457" s="163" t="s">
        <v>1249</v>
      </c>
      <c r="C457" s="162" t="s">
        <v>321</v>
      </c>
      <c r="D457" s="272" t="s">
        <v>319</v>
      </c>
      <c r="E457" s="162">
        <v>143</v>
      </c>
      <c r="F457" s="162">
        <v>86</v>
      </c>
      <c r="G457" s="162">
        <v>104</v>
      </c>
      <c r="H457" s="286">
        <f>G457/F457</f>
        <v>1.2093023255813953</v>
      </c>
      <c r="I457" s="286">
        <f>G457/E457</f>
        <v>0.72727272727272729</v>
      </c>
      <c r="J457" s="86" t="s">
        <v>1497</v>
      </c>
      <c r="K457" s="162" t="s">
        <v>41</v>
      </c>
      <c r="L457" s="39" t="s">
        <v>1487</v>
      </c>
      <c r="M457" s="40">
        <v>1</v>
      </c>
      <c r="N457" s="41">
        <f t="shared" si="232"/>
        <v>1</v>
      </c>
      <c r="O457" s="41">
        <f t="shared" si="235"/>
        <v>0.72727272727272729</v>
      </c>
      <c r="AC457" s="67">
        <f t="shared" si="212"/>
        <v>1.2093023255813953</v>
      </c>
      <c r="AD457" s="67">
        <f t="shared" si="212"/>
        <v>0.72727272727272729</v>
      </c>
    </row>
    <row r="458" spans="1:37" ht="67.5" outlineLevel="2" x14ac:dyDescent="0.25">
      <c r="A458" s="262" t="s">
        <v>623</v>
      </c>
      <c r="B458" s="163" t="s">
        <v>643</v>
      </c>
      <c r="C458" s="162" t="s">
        <v>448</v>
      </c>
      <c r="D458" s="167" t="s">
        <v>339</v>
      </c>
      <c r="E458" s="162">
        <v>1105</v>
      </c>
      <c r="F458" s="162">
        <v>108</v>
      </c>
      <c r="G458" s="162">
        <v>1916</v>
      </c>
      <c r="H458" s="286">
        <f>G458/F458</f>
        <v>17.74074074074074</v>
      </c>
      <c r="I458" s="286">
        <f>G458/E458</f>
        <v>1.7339366515837105</v>
      </c>
      <c r="J458" s="162" t="s">
        <v>1489</v>
      </c>
      <c r="K458" s="162" t="s">
        <v>41</v>
      </c>
      <c r="L458" s="162" t="s">
        <v>1252</v>
      </c>
      <c r="M458" s="40">
        <v>0</v>
      </c>
      <c r="N458" s="41">
        <f t="shared" si="232"/>
        <v>1</v>
      </c>
      <c r="O458" s="41" t="s">
        <v>41</v>
      </c>
      <c r="AC458" s="67">
        <f t="shared" si="212"/>
        <v>17.74074074074074</v>
      </c>
      <c r="AD458" s="67"/>
    </row>
    <row r="459" spans="1:37" ht="258.75" outlineLevel="2" x14ac:dyDescent="0.25">
      <c r="A459" s="262" t="s">
        <v>624</v>
      </c>
      <c r="B459" s="163" t="s">
        <v>856</v>
      </c>
      <c r="C459" s="162" t="s">
        <v>321</v>
      </c>
      <c r="D459" s="272" t="s">
        <v>319</v>
      </c>
      <c r="E459" s="162">
        <v>14.3</v>
      </c>
      <c r="F459" s="162">
        <v>35.700000000000003</v>
      </c>
      <c r="G459" s="162">
        <v>0</v>
      </c>
      <c r="H459" s="286">
        <f t="shared" ref="H459:H466" si="236">G459/F459</f>
        <v>0</v>
      </c>
      <c r="I459" s="286">
        <f t="shared" ref="I459:I466" si="237">G459/E459</f>
        <v>0</v>
      </c>
      <c r="J459" s="86" t="s">
        <v>1490</v>
      </c>
      <c r="K459" s="86" t="s">
        <v>1512</v>
      </c>
      <c r="L459" s="162" t="s">
        <v>858</v>
      </c>
      <c r="M459" s="40">
        <v>1</v>
      </c>
      <c r="N459" s="41">
        <f t="shared" si="232"/>
        <v>0</v>
      </c>
      <c r="O459" s="41">
        <f t="shared" si="235"/>
        <v>0</v>
      </c>
      <c r="AC459" s="67">
        <f t="shared" si="212"/>
        <v>0</v>
      </c>
      <c r="AD459" s="67">
        <f t="shared" si="212"/>
        <v>0</v>
      </c>
    </row>
    <row r="460" spans="1:37" ht="67.5" outlineLevel="2" x14ac:dyDescent="0.25">
      <c r="A460" s="262" t="s">
        <v>625</v>
      </c>
      <c r="B460" s="163" t="s">
        <v>637</v>
      </c>
      <c r="C460" s="162" t="s">
        <v>321</v>
      </c>
      <c r="D460" s="280" t="s">
        <v>302</v>
      </c>
      <c r="E460" s="162">
        <v>0.4</v>
      </c>
      <c r="F460" s="162">
        <v>1.18</v>
      </c>
      <c r="G460" s="162">
        <v>0.15</v>
      </c>
      <c r="H460" s="286">
        <f>F460/G460</f>
        <v>7.8666666666666663</v>
      </c>
      <c r="I460" s="286">
        <f>E460/G460</f>
        <v>2.666666666666667</v>
      </c>
      <c r="J460" s="86" t="s">
        <v>1491</v>
      </c>
      <c r="K460" s="162" t="s">
        <v>41</v>
      </c>
      <c r="L460" s="162" t="s">
        <v>858</v>
      </c>
      <c r="M460" s="40">
        <v>-1</v>
      </c>
      <c r="N460" s="41">
        <f t="shared" si="232"/>
        <v>1</v>
      </c>
      <c r="O460" s="41">
        <f t="shared" si="235"/>
        <v>1.25</v>
      </c>
      <c r="AC460" s="67">
        <f t="shared" ref="AC460:AD493" si="238">H460</f>
        <v>7.8666666666666663</v>
      </c>
      <c r="AD460" s="67">
        <f t="shared" si="238"/>
        <v>2.666666666666667</v>
      </c>
    </row>
    <row r="461" spans="1:37" ht="57.75" customHeight="1" outlineLevel="2" x14ac:dyDescent="0.25">
      <c r="A461" s="262" t="s">
        <v>1427</v>
      </c>
      <c r="B461" s="163" t="s">
        <v>642</v>
      </c>
      <c r="C461" s="154" t="s">
        <v>645</v>
      </c>
      <c r="D461" s="167" t="s">
        <v>339</v>
      </c>
      <c r="E461" s="162">
        <v>4115</v>
      </c>
      <c r="F461" s="162">
        <v>2450</v>
      </c>
      <c r="G461" s="162">
        <v>3590</v>
      </c>
      <c r="H461" s="286">
        <f>G461/F461</f>
        <v>1.4653061224489796</v>
      </c>
      <c r="I461" s="286" t="s">
        <v>41</v>
      </c>
      <c r="J461" s="86" t="s">
        <v>1492</v>
      </c>
      <c r="K461" s="162" t="s">
        <v>41</v>
      </c>
      <c r="L461" s="162" t="s">
        <v>858</v>
      </c>
      <c r="M461" s="40">
        <v>0</v>
      </c>
      <c r="N461" s="41">
        <f t="shared" si="232"/>
        <v>1</v>
      </c>
      <c r="O461" s="41" t="s">
        <v>41</v>
      </c>
      <c r="AC461" s="67">
        <f t="shared" si="238"/>
        <v>1.4653061224489796</v>
      </c>
      <c r="AD461" s="67" t="str">
        <f t="shared" si="238"/>
        <v>-</v>
      </c>
    </row>
    <row r="462" spans="1:37" ht="67.5" outlineLevel="2" x14ac:dyDescent="0.25">
      <c r="A462" s="262" t="s">
        <v>1861</v>
      </c>
      <c r="B462" s="163" t="s">
        <v>680</v>
      </c>
      <c r="C462" s="162" t="s">
        <v>321</v>
      </c>
      <c r="D462" s="280" t="s">
        <v>302</v>
      </c>
      <c r="E462" s="162">
        <v>13</v>
      </c>
      <c r="F462" s="162">
        <v>15.3</v>
      </c>
      <c r="G462" s="162">
        <v>11</v>
      </c>
      <c r="H462" s="286">
        <f>F462/G462</f>
        <v>1.3909090909090909</v>
      </c>
      <c r="I462" s="286">
        <f>E462/G462</f>
        <v>1.1818181818181819</v>
      </c>
      <c r="J462" s="86" t="s">
        <v>1493</v>
      </c>
      <c r="K462" s="162" t="s">
        <v>41</v>
      </c>
      <c r="L462" s="162" t="s">
        <v>1488</v>
      </c>
      <c r="M462" s="40">
        <v>1</v>
      </c>
      <c r="N462" s="41">
        <f t="shared" si="232"/>
        <v>1</v>
      </c>
      <c r="O462" s="41">
        <f t="shared" si="235"/>
        <v>1.1818181818181819</v>
      </c>
      <c r="AC462" s="67">
        <f t="shared" si="238"/>
        <v>1.3909090909090909</v>
      </c>
      <c r="AD462" s="67">
        <f t="shared" si="238"/>
        <v>1.1818181818181819</v>
      </c>
    </row>
    <row r="463" spans="1:37" ht="56.25" outlineLevel="2" x14ac:dyDescent="0.25">
      <c r="A463" s="262" t="s">
        <v>1862</v>
      </c>
      <c r="B463" s="348" t="s">
        <v>681</v>
      </c>
      <c r="C463" s="162" t="s">
        <v>321</v>
      </c>
      <c r="D463" s="280" t="s">
        <v>302</v>
      </c>
      <c r="E463" s="162">
        <v>3</v>
      </c>
      <c r="F463" s="162">
        <v>10</v>
      </c>
      <c r="G463" s="162">
        <v>3</v>
      </c>
      <c r="H463" s="286">
        <f>F463/G463</f>
        <v>3.3333333333333335</v>
      </c>
      <c r="I463" s="286">
        <f>E463/G463</f>
        <v>1</v>
      </c>
      <c r="J463" s="86" t="s">
        <v>1494</v>
      </c>
      <c r="K463" s="162" t="s">
        <v>41</v>
      </c>
      <c r="L463" s="162" t="s">
        <v>1488</v>
      </c>
      <c r="M463" s="40">
        <v>1</v>
      </c>
      <c r="N463" s="41">
        <f t="shared" si="232"/>
        <v>1</v>
      </c>
      <c r="O463" s="41">
        <f t="shared" si="235"/>
        <v>1</v>
      </c>
      <c r="AC463" s="67">
        <f t="shared" si="238"/>
        <v>3.3333333333333335</v>
      </c>
      <c r="AD463" s="67">
        <f t="shared" si="238"/>
        <v>1</v>
      </c>
    </row>
    <row r="464" spans="1:37" ht="60" customHeight="1" outlineLevel="2" x14ac:dyDescent="0.25">
      <c r="A464" s="262" t="s">
        <v>1863</v>
      </c>
      <c r="B464" s="163" t="s">
        <v>857</v>
      </c>
      <c r="C464" s="162" t="s">
        <v>321</v>
      </c>
      <c r="D464" s="272" t="s">
        <v>319</v>
      </c>
      <c r="E464" s="162">
        <v>100</v>
      </c>
      <c r="F464" s="162">
        <v>100</v>
      </c>
      <c r="G464" s="162">
        <v>100</v>
      </c>
      <c r="H464" s="286">
        <f t="shared" si="236"/>
        <v>1</v>
      </c>
      <c r="I464" s="286">
        <f t="shared" si="237"/>
        <v>1</v>
      </c>
      <c r="J464" s="162" t="s">
        <v>41</v>
      </c>
      <c r="K464" s="162" t="s">
        <v>41</v>
      </c>
      <c r="L464" s="39" t="s">
        <v>1487</v>
      </c>
      <c r="M464" s="40">
        <v>1</v>
      </c>
      <c r="N464" s="41">
        <f t="shared" si="232"/>
        <v>1</v>
      </c>
      <c r="O464" s="41">
        <f t="shared" si="235"/>
        <v>1</v>
      </c>
      <c r="AC464" s="67">
        <f t="shared" si="238"/>
        <v>1</v>
      </c>
      <c r="AD464" s="67">
        <f t="shared" si="238"/>
        <v>1</v>
      </c>
    </row>
    <row r="465" spans="1:37" ht="129.75" customHeight="1" outlineLevel="2" x14ac:dyDescent="0.25">
      <c r="A465" s="262" t="s">
        <v>1864</v>
      </c>
      <c r="B465" s="163" t="s">
        <v>641</v>
      </c>
      <c r="C465" s="162" t="s">
        <v>321</v>
      </c>
      <c r="D465" s="272" t="s">
        <v>319</v>
      </c>
      <c r="E465" s="162">
        <v>100</v>
      </c>
      <c r="F465" s="162">
        <v>100</v>
      </c>
      <c r="G465" s="162">
        <v>98.9</v>
      </c>
      <c r="H465" s="286">
        <f t="shared" si="236"/>
        <v>0.9890000000000001</v>
      </c>
      <c r="I465" s="286">
        <f t="shared" si="237"/>
        <v>0.9890000000000001</v>
      </c>
      <c r="J465" s="162" t="s">
        <v>1495</v>
      </c>
      <c r="K465" s="162" t="s">
        <v>1496</v>
      </c>
      <c r="L465" s="39" t="s">
        <v>1487</v>
      </c>
      <c r="M465" s="40">
        <v>1</v>
      </c>
      <c r="N465" s="41">
        <f t="shared" si="232"/>
        <v>0.9890000000000001</v>
      </c>
      <c r="O465" s="41">
        <f t="shared" si="235"/>
        <v>0.9890000000000001</v>
      </c>
      <c r="AC465" s="67">
        <f t="shared" si="238"/>
        <v>0.9890000000000001</v>
      </c>
      <c r="AD465" s="67">
        <f t="shared" si="238"/>
        <v>0.9890000000000001</v>
      </c>
    </row>
    <row r="466" spans="1:37" ht="101.25" outlineLevel="2" x14ac:dyDescent="0.25">
      <c r="A466" s="262" t="s">
        <v>1865</v>
      </c>
      <c r="B466" s="163" t="s">
        <v>1250</v>
      </c>
      <c r="C466" s="162" t="s">
        <v>321</v>
      </c>
      <c r="D466" s="272" t="s">
        <v>319</v>
      </c>
      <c r="E466" s="162">
        <v>91</v>
      </c>
      <c r="F466" s="162">
        <v>91.1</v>
      </c>
      <c r="G466" s="162">
        <v>91.1</v>
      </c>
      <c r="H466" s="286">
        <f t="shared" si="236"/>
        <v>1</v>
      </c>
      <c r="I466" s="286">
        <f t="shared" si="237"/>
        <v>1.0010989010989011</v>
      </c>
      <c r="J466" s="162" t="s">
        <v>41</v>
      </c>
      <c r="K466" s="162" t="s">
        <v>41</v>
      </c>
      <c r="L466" s="39" t="s">
        <v>1487</v>
      </c>
      <c r="M466" s="40">
        <v>1</v>
      </c>
      <c r="N466" s="41">
        <f t="shared" si="232"/>
        <v>1</v>
      </c>
      <c r="O466" s="41">
        <f t="shared" si="235"/>
        <v>1.0010989010989011</v>
      </c>
      <c r="AC466" s="67">
        <f t="shared" si="238"/>
        <v>1</v>
      </c>
      <c r="AD466" s="67">
        <f t="shared" si="238"/>
        <v>1.0010989010989011</v>
      </c>
    </row>
    <row r="467" spans="1:37" s="47" customFormat="1" ht="20.25" customHeight="1" outlineLevel="1" x14ac:dyDescent="0.25">
      <c r="A467" s="68" t="s">
        <v>175</v>
      </c>
      <c r="B467" s="571" t="s">
        <v>644</v>
      </c>
      <c r="C467" s="571"/>
      <c r="D467" s="571"/>
      <c r="E467" s="571"/>
      <c r="F467" s="571"/>
      <c r="G467" s="571"/>
      <c r="H467" s="69">
        <f>AVERAGE(N468:N474)</f>
        <v>0.99047619047619051</v>
      </c>
      <c r="I467" s="69">
        <f>AVERAGE(O468:O474)</f>
        <v>0.98581871345029237</v>
      </c>
      <c r="J467" s="70"/>
      <c r="K467" s="70"/>
      <c r="L467" s="71"/>
      <c r="M467" s="64"/>
      <c r="N467" s="41"/>
      <c r="O467" s="41"/>
      <c r="P467" s="49"/>
      <c r="Q467" s="49"/>
      <c r="R467" s="104">
        <f>COUNTA(C468:C474)</f>
        <v>7</v>
      </c>
      <c r="S467" s="103">
        <v>0</v>
      </c>
      <c r="T467" s="104">
        <f>COUNTIFS(AC468:AC474,"&gt;1,50")</f>
        <v>0</v>
      </c>
      <c r="U467" s="104">
        <f>COUNTIFS(AC468:AC474,"&gt;=0,995",AC468:AC474,"&lt;=1,5")</f>
        <v>6</v>
      </c>
      <c r="V467" s="104">
        <f>COUNTIFS(AC468:AC474,"&gt;=0,85",AC468:AC474,"&lt;0,995")</f>
        <v>1</v>
      </c>
      <c r="W467" s="104">
        <f>COUNTIFS(AC468:AC474,"&lt;0,85")</f>
        <v>0</v>
      </c>
      <c r="X467" s="52"/>
      <c r="Z467" s="96">
        <f>COUNTIFS(AD468:AD474,"&gt;=1,01")</f>
        <v>0</v>
      </c>
      <c r="AA467" s="96">
        <f>COUNTIFS(AD468:AD474,"&gt;=0,99",AD468:AD474,"&lt;1,01")</f>
        <v>4</v>
      </c>
      <c r="AB467" s="97">
        <f>COUNTIFS(AD468:AD474,"&lt;0,99")</f>
        <v>2</v>
      </c>
      <c r="AC467" s="67"/>
      <c r="AD467" s="67"/>
      <c r="AK467" s="47">
        <f>SUM(T467:X467)-R467</f>
        <v>0</v>
      </c>
    </row>
    <row r="468" spans="1:37" ht="51" customHeight="1" outlineLevel="2" x14ac:dyDescent="0.25">
      <c r="A468" s="262" t="s">
        <v>627</v>
      </c>
      <c r="B468" s="85" t="s">
        <v>859</v>
      </c>
      <c r="C468" s="162" t="s">
        <v>321</v>
      </c>
      <c r="D468" s="272" t="s">
        <v>319</v>
      </c>
      <c r="E468" s="162">
        <v>100</v>
      </c>
      <c r="F468" s="162">
        <v>100</v>
      </c>
      <c r="G468" s="162">
        <v>100</v>
      </c>
      <c r="H468" s="286">
        <f t="shared" ref="H468:H473" si="239">G468/F468</f>
        <v>1</v>
      </c>
      <c r="I468" s="286">
        <f t="shared" ref="I468:I473" si="240">G468/E468</f>
        <v>1</v>
      </c>
      <c r="J468" s="162" t="s">
        <v>41</v>
      </c>
      <c r="K468" s="162" t="s">
        <v>41</v>
      </c>
      <c r="L468" s="39" t="s">
        <v>658</v>
      </c>
      <c r="M468" s="40">
        <v>1</v>
      </c>
      <c r="N468" s="41">
        <f t="shared" si="232"/>
        <v>1</v>
      </c>
      <c r="O468" s="41">
        <f t="shared" si="235"/>
        <v>1</v>
      </c>
      <c r="AC468" s="67">
        <f t="shared" si="238"/>
        <v>1</v>
      </c>
      <c r="AD468" s="67">
        <f t="shared" si="238"/>
        <v>1</v>
      </c>
    </row>
    <row r="469" spans="1:37" ht="123.75" outlineLevel="2" x14ac:dyDescent="0.25">
      <c r="A469" s="262" t="s">
        <v>628</v>
      </c>
      <c r="B469" s="85" t="s">
        <v>860</v>
      </c>
      <c r="C469" s="162" t="s">
        <v>321</v>
      </c>
      <c r="D469" s="272" t="s">
        <v>319</v>
      </c>
      <c r="E469" s="162">
        <v>100</v>
      </c>
      <c r="F469" s="162">
        <v>100</v>
      </c>
      <c r="G469" s="162">
        <v>100</v>
      </c>
      <c r="H469" s="286">
        <f t="shared" si="239"/>
        <v>1</v>
      </c>
      <c r="I469" s="286">
        <f t="shared" si="240"/>
        <v>1</v>
      </c>
      <c r="J469" s="162" t="s">
        <v>41</v>
      </c>
      <c r="K469" s="162" t="s">
        <v>41</v>
      </c>
      <c r="L469" s="39" t="s">
        <v>658</v>
      </c>
      <c r="M469" s="40">
        <v>1</v>
      </c>
      <c r="N469" s="41">
        <f t="shared" si="232"/>
        <v>1</v>
      </c>
      <c r="O469" s="41">
        <f t="shared" si="235"/>
        <v>1</v>
      </c>
      <c r="AC469" s="67">
        <f t="shared" si="238"/>
        <v>1</v>
      </c>
      <c r="AD469" s="67">
        <f t="shared" si="238"/>
        <v>1</v>
      </c>
    </row>
    <row r="470" spans="1:37" ht="63.75" customHeight="1" outlineLevel="2" x14ac:dyDescent="0.25">
      <c r="A470" s="262" t="s">
        <v>629</v>
      </c>
      <c r="B470" s="85" t="s">
        <v>861</v>
      </c>
      <c r="C470" s="162" t="s">
        <v>321</v>
      </c>
      <c r="D470" s="272" t="s">
        <v>319</v>
      </c>
      <c r="E470" s="162">
        <v>100</v>
      </c>
      <c r="F470" s="162">
        <v>100</v>
      </c>
      <c r="G470" s="162">
        <v>100</v>
      </c>
      <c r="H470" s="286">
        <f t="shared" si="239"/>
        <v>1</v>
      </c>
      <c r="I470" s="286">
        <f t="shared" si="240"/>
        <v>1</v>
      </c>
      <c r="J470" s="162" t="s">
        <v>41</v>
      </c>
      <c r="K470" s="162" t="s">
        <v>41</v>
      </c>
      <c r="L470" s="39" t="s">
        <v>658</v>
      </c>
      <c r="M470" s="40">
        <v>1</v>
      </c>
      <c r="N470" s="41">
        <f t="shared" si="232"/>
        <v>1</v>
      </c>
      <c r="O470" s="41">
        <f t="shared" si="235"/>
        <v>1</v>
      </c>
      <c r="AC470" s="67">
        <f t="shared" si="238"/>
        <v>1</v>
      </c>
      <c r="AD470" s="67">
        <f t="shared" si="238"/>
        <v>1</v>
      </c>
    </row>
    <row r="471" spans="1:37" ht="52.5" customHeight="1" outlineLevel="2" x14ac:dyDescent="0.25">
      <c r="A471" s="262" t="s">
        <v>631</v>
      </c>
      <c r="B471" s="85" t="s">
        <v>862</v>
      </c>
      <c r="C471" s="162" t="s">
        <v>645</v>
      </c>
      <c r="D471" s="272" t="s">
        <v>319</v>
      </c>
      <c r="E471" s="162">
        <v>1027</v>
      </c>
      <c r="F471" s="162">
        <v>980</v>
      </c>
      <c r="G471" s="162">
        <v>1154</v>
      </c>
      <c r="H471" s="286">
        <f t="shared" si="239"/>
        <v>1.1775510204081632</v>
      </c>
      <c r="I471" s="286">
        <f t="shared" si="240"/>
        <v>1.1236611489776047</v>
      </c>
      <c r="J471" s="86" t="s">
        <v>1500</v>
      </c>
      <c r="K471" s="162" t="s">
        <v>41</v>
      </c>
      <c r="L471" s="39" t="s">
        <v>658</v>
      </c>
      <c r="M471" s="40">
        <v>1</v>
      </c>
      <c r="N471" s="41">
        <f t="shared" si="232"/>
        <v>1</v>
      </c>
      <c r="O471" s="41" t="s">
        <v>41</v>
      </c>
      <c r="AC471" s="67">
        <f t="shared" si="238"/>
        <v>1.1775510204081632</v>
      </c>
      <c r="AD471" s="67"/>
    </row>
    <row r="472" spans="1:37" ht="60.75" customHeight="1" outlineLevel="2" x14ac:dyDescent="0.25">
      <c r="A472" s="262" t="s">
        <v>1866</v>
      </c>
      <c r="B472" s="85" t="s">
        <v>863</v>
      </c>
      <c r="C472" s="162" t="s">
        <v>321</v>
      </c>
      <c r="D472" s="272" t="s">
        <v>319</v>
      </c>
      <c r="E472" s="162">
        <v>79.8</v>
      </c>
      <c r="F472" s="162">
        <v>72.5</v>
      </c>
      <c r="G472" s="162">
        <v>78.33</v>
      </c>
      <c r="H472" s="286">
        <f t="shared" si="239"/>
        <v>1.0804137931034483</v>
      </c>
      <c r="I472" s="286">
        <f t="shared" si="240"/>
        <v>0.98157894736842111</v>
      </c>
      <c r="J472" s="86" t="s">
        <v>1498</v>
      </c>
      <c r="K472" s="162" t="s">
        <v>41</v>
      </c>
      <c r="L472" s="39" t="s">
        <v>658</v>
      </c>
      <c r="M472" s="40">
        <v>1</v>
      </c>
      <c r="N472" s="41">
        <f t="shared" si="232"/>
        <v>1</v>
      </c>
      <c r="O472" s="41">
        <f t="shared" si="235"/>
        <v>0.98157894736842111</v>
      </c>
      <c r="AC472" s="67">
        <f t="shared" si="238"/>
        <v>1.0804137931034483</v>
      </c>
      <c r="AD472" s="67">
        <f t="shared" si="238"/>
        <v>0.98157894736842111</v>
      </c>
    </row>
    <row r="473" spans="1:37" ht="96.75" customHeight="1" outlineLevel="2" x14ac:dyDescent="0.25">
      <c r="A473" s="262" t="s">
        <v>1867</v>
      </c>
      <c r="B473" s="85" t="s">
        <v>646</v>
      </c>
      <c r="C473" s="162" t="s">
        <v>321</v>
      </c>
      <c r="D473" s="272" t="s">
        <v>319</v>
      </c>
      <c r="E473" s="162">
        <v>100</v>
      </c>
      <c r="F473" s="162">
        <v>100</v>
      </c>
      <c r="G473" s="162">
        <v>100</v>
      </c>
      <c r="H473" s="286">
        <f t="shared" si="239"/>
        <v>1</v>
      </c>
      <c r="I473" s="286">
        <f t="shared" si="240"/>
        <v>1</v>
      </c>
      <c r="J473" s="162" t="s">
        <v>41</v>
      </c>
      <c r="K473" s="162" t="s">
        <v>41</v>
      </c>
      <c r="L473" s="39" t="s">
        <v>658</v>
      </c>
      <c r="M473" s="40">
        <v>1</v>
      </c>
      <c r="N473" s="41">
        <f t="shared" si="232"/>
        <v>1</v>
      </c>
      <c r="O473" s="41">
        <f t="shared" si="235"/>
        <v>1</v>
      </c>
      <c r="AC473" s="67">
        <f t="shared" si="238"/>
        <v>1</v>
      </c>
      <c r="AD473" s="67">
        <f t="shared" si="238"/>
        <v>1</v>
      </c>
    </row>
    <row r="474" spans="1:37" ht="62.25" customHeight="1" outlineLevel="2" x14ac:dyDescent="0.25">
      <c r="A474" s="262" t="s">
        <v>1868</v>
      </c>
      <c r="B474" s="85" t="s">
        <v>864</v>
      </c>
      <c r="C474" s="162" t="s">
        <v>645</v>
      </c>
      <c r="D474" s="280" t="s">
        <v>302</v>
      </c>
      <c r="E474" s="162">
        <v>14</v>
      </c>
      <c r="F474" s="162">
        <v>14</v>
      </c>
      <c r="G474" s="162">
        <v>15</v>
      </c>
      <c r="H474" s="286">
        <f>F474/G474</f>
        <v>0.93333333333333335</v>
      </c>
      <c r="I474" s="286">
        <f>E474/G474</f>
        <v>0.93333333333333335</v>
      </c>
      <c r="J474" s="162" t="s">
        <v>1499</v>
      </c>
      <c r="K474" s="445" t="s">
        <v>1513</v>
      </c>
      <c r="L474" s="39" t="s">
        <v>658</v>
      </c>
      <c r="M474" s="40">
        <v>-1</v>
      </c>
      <c r="N474" s="41">
        <f t="shared" si="232"/>
        <v>0.93333333333333335</v>
      </c>
      <c r="O474" s="41">
        <f t="shared" si="235"/>
        <v>0.93333333333333335</v>
      </c>
      <c r="AC474" s="67">
        <f t="shared" si="238"/>
        <v>0.93333333333333335</v>
      </c>
      <c r="AD474" s="67">
        <f t="shared" si="238"/>
        <v>0.93333333333333335</v>
      </c>
    </row>
    <row r="475" spans="1:37" s="47" customFormat="1" ht="23.25" customHeight="1" outlineLevel="1" x14ac:dyDescent="0.25">
      <c r="A475" s="68" t="s">
        <v>176</v>
      </c>
      <c r="B475" s="571" t="s">
        <v>865</v>
      </c>
      <c r="C475" s="571"/>
      <c r="D475" s="571"/>
      <c r="E475" s="571"/>
      <c r="F475" s="571"/>
      <c r="G475" s="571"/>
      <c r="H475" s="69">
        <f>AVERAGE(N476:N485)</f>
        <v>0.97037861915367485</v>
      </c>
      <c r="I475" s="69">
        <f>AVERAGE(O476:O485)</f>
        <v>1.0298497707483127</v>
      </c>
      <c r="J475" s="70"/>
      <c r="K475" s="70"/>
      <c r="L475" s="71"/>
      <c r="M475" s="64"/>
      <c r="N475" s="41"/>
      <c r="O475" s="41"/>
      <c r="P475" s="49"/>
      <c r="Q475" s="49"/>
      <c r="R475" s="104">
        <f>COUNTA(C476:C485)</f>
        <v>10</v>
      </c>
      <c r="S475" s="103">
        <v>0</v>
      </c>
      <c r="T475" s="104">
        <f>COUNTIFS(AC476:AC485,"&gt;1,50")</f>
        <v>0</v>
      </c>
      <c r="U475" s="104">
        <f>COUNTIFS(AC476:AC485,"&gt;=0,995",AC476:AC485,"&lt;=1,5")</f>
        <v>9</v>
      </c>
      <c r="V475" s="104">
        <f>COUNTIFS(AC476:AC485,"&gt;=0,85",AC476:AC485,"&lt;0,995")</f>
        <v>0</v>
      </c>
      <c r="W475" s="104">
        <f>COUNTIFS(AC476:AC485,"&lt;0,85")</f>
        <v>1</v>
      </c>
      <c r="X475" s="52"/>
      <c r="Z475" s="96">
        <f>COUNTIFS(AD476:AD485,"&gt;=1,01")</f>
        <v>6</v>
      </c>
      <c r="AA475" s="96">
        <f>COUNTIFS(AD476:AD485,"&gt;=0,99",AD476:AD485,"&lt;1,01")</f>
        <v>1</v>
      </c>
      <c r="AB475" s="97">
        <f>COUNTIFS(AD476:AD485,"&lt;0,99")</f>
        <v>2</v>
      </c>
      <c r="AC475" s="67"/>
      <c r="AD475" s="67"/>
      <c r="AK475" s="47">
        <f>SUM(T475:X475)-R475</f>
        <v>0</v>
      </c>
    </row>
    <row r="476" spans="1:37" ht="69" customHeight="1" outlineLevel="2" x14ac:dyDescent="0.25">
      <c r="A476" s="262" t="s">
        <v>632</v>
      </c>
      <c r="B476" s="163" t="s">
        <v>866</v>
      </c>
      <c r="C476" s="162" t="s">
        <v>321</v>
      </c>
      <c r="D476" s="272" t="s">
        <v>319</v>
      </c>
      <c r="E476" s="162">
        <v>49</v>
      </c>
      <c r="F476" s="162">
        <v>50</v>
      </c>
      <c r="G476" s="162">
        <v>51</v>
      </c>
      <c r="H476" s="286">
        <f t="shared" ref="H476:H485" si="241">G476/F476</f>
        <v>1.02</v>
      </c>
      <c r="I476" s="286">
        <f t="shared" ref="I476:I483" si="242">G476/E476</f>
        <v>1.0408163265306123</v>
      </c>
      <c r="J476" s="162" t="s">
        <v>1251</v>
      </c>
      <c r="K476" s="162" t="s">
        <v>41</v>
      </c>
      <c r="L476" s="162" t="s">
        <v>1252</v>
      </c>
      <c r="M476" s="40">
        <v>1</v>
      </c>
      <c r="N476" s="41">
        <f t="shared" si="232"/>
        <v>1</v>
      </c>
      <c r="O476" s="41">
        <f t="shared" si="235"/>
        <v>1.0408163265306123</v>
      </c>
      <c r="AC476" s="67">
        <f t="shared" si="238"/>
        <v>1.02</v>
      </c>
      <c r="AD476" s="67">
        <f t="shared" si="238"/>
        <v>1.0408163265306123</v>
      </c>
    </row>
    <row r="477" spans="1:37" ht="45" outlineLevel="2" x14ac:dyDescent="0.25">
      <c r="A477" s="262" t="s">
        <v>1869</v>
      </c>
      <c r="B477" s="163" t="s">
        <v>867</v>
      </c>
      <c r="C477" s="162" t="s">
        <v>321</v>
      </c>
      <c r="D477" s="272" t="s">
        <v>319</v>
      </c>
      <c r="E477" s="162">
        <v>72</v>
      </c>
      <c r="F477" s="162">
        <v>73</v>
      </c>
      <c r="G477" s="162">
        <v>74</v>
      </c>
      <c r="H477" s="286">
        <f t="shared" si="241"/>
        <v>1.0136986301369864</v>
      </c>
      <c r="I477" s="286">
        <f t="shared" si="242"/>
        <v>1.0277777777777777</v>
      </c>
      <c r="J477" s="162" t="s">
        <v>1251</v>
      </c>
      <c r="K477" s="162" t="s">
        <v>41</v>
      </c>
      <c r="L477" s="162" t="s">
        <v>1252</v>
      </c>
      <c r="M477" s="40">
        <v>1</v>
      </c>
      <c r="N477" s="41">
        <f t="shared" si="232"/>
        <v>1</v>
      </c>
      <c r="O477" s="41">
        <f t="shared" si="235"/>
        <v>1.0277777777777777</v>
      </c>
      <c r="AC477" s="67">
        <f t="shared" si="238"/>
        <v>1.0136986301369864</v>
      </c>
      <c r="AD477" s="67">
        <f t="shared" si="238"/>
        <v>1.0277777777777777</v>
      </c>
    </row>
    <row r="478" spans="1:37" ht="67.5" outlineLevel="2" x14ac:dyDescent="0.25">
      <c r="A478" s="262" t="s">
        <v>633</v>
      </c>
      <c r="B478" s="163" t="s">
        <v>868</v>
      </c>
      <c r="C478" s="162" t="s">
        <v>321</v>
      </c>
      <c r="D478" s="272" t="s">
        <v>319</v>
      </c>
      <c r="E478" s="162">
        <v>45</v>
      </c>
      <c r="F478" s="162">
        <v>45</v>
      </c>
      <c r="G478" s="162">
        <v>57</v>
      </c>
      <c r="H478" s="286">
        <f t="shared" si="241"/>
        <v>1.2666666666666666</v>
      </c>
      <c r="I478" s="286">
        <f t="shared" si="242"/>
        <v>1.2666666666666666</v>
      </c>
      <c r="J478" s="162" t="s">
        <v>1251</v>
      </c>
      <c r="K478" s="162" t="s">
        <v>41</v>
      </c>
      <c r="L478" s="162" t="s">
        <v>1252</v>
      </c>
      <c r="M478" s="40">
        <v>1</v>
      </c>
      <c r="N478" s="41">
        <f t="shared" si="232"/>
        <v>1</v>
      </c>
      <c r="O478" s="41">
        <f t="shared" si="235"/>
        <v>1.25</v>
      </c>
      <c r="AC478" s="67">
        <f t="shared" si="238"/>
        <v>1.2666666666666666</v>
      </c>
      <c r="AD478" s="67">
        <f t="shared" si="238"/>
        <v>1.2666666666666666</v>
      </c>
    </row>
    <row r="479" spans="1:37" ht="56.25" outlineLevel="2" x14ac:dyDescent="0.25">
      <c r="A479" s="262" t="s">
        <v>1870</v>
      </c>
      <c r="B479" s="163" t="s">
        <v>869</v>
      </c>
      <c r="C479" s="162" t="s">
        <v>321</v>
      </c>
      <c r="D479" s="272" t="s">
        <v>319</v>
      </c>
      <c r="E479" s="162">
        <v>27.7</v>
      </c>
      <c r="F479" s="162">
        <v>22.3</v>
      </c>
      <c r="G479" s="162">
        <v>27.8</v>
      </c>
      <c r="H479" s="286">
        <f t="shared" si="241"/>
        <v>1.2466367713004485</v>
      </c>
      <c r="I479" s="286">
        <f t="shared" si="242"/>
        <v>1.0036101083032491</v>
      </c>
      <c r="J479" s="162" t="s">
        <v>1502</v>
      </c>
      <c r="K479" s="162" t="s">
        <v>41</v>
      </c>
      <c r="L479" s="162" t="s">
        <v>1253</v>
      </c>
      <c r="M479" s="40">
        <v>1</v>
      </c>
      <c r="N479" s="41">
        <f t="shared" si="232"/>
        <v>1</v>
      </c>
      <c r="O479" s="41">
        <f t="shared" si="235"/>
        <v>1.0036101083032491</v>
      </c>
      <c r="AC479" s="67">
        <f t="shared" si="238"/>
        <v>1.2466367713004485</v>
      </c>
      <c r="AD479" s="67">
        <f t="shared" si="238"/>
        <v>1.0036101083032491</v>
      </c>
    </row>
    <row r="480" spans="1:37" ht="90" outlineLevel="2" x14ac:dyDescent="0.25">
      <c r="A480" s="262" t="s">
        <v>1871</v>
      </c>
      <c r="B480" s="349" t="s">
        <v>683</v>
      </c>
      <c r="C480" s="162" t="s">
        <v>684</v>
      </c>
      <c r="D480" s="272" t="s">
        <v>319</v>
      </c>
      <c r="E480" s="162">
        <v>7.4899999999999994E-2</v>
      </c>
      <c r="F480" s="162">
        <v>7.0000000000000007E-2</v>
      </c>
      <c r="G480" s="162">
        <v>8.5999999999999993E-2</v>
      </c>
      <c r="H480" s="286">
        <f t="shared" si="241"/>
        <v>1.2285714285714284</v>
      </c>
      <c r="I480" s="286">
        <f t="shared" si="242"/>
        <v>1.1481975967957276</v>
      </c>
      <c r="J480" s="162" t="s">
        <v>1503</v>
      </c>
      <c r="K480" s="162" t="s">
        <v>41</v>
      </c>
      <c r="L480" s="350" t="s">
        <v>1253</v>
      </c>
      <c r="M480" s="40">
        <v>1</v>
      </c>
      <c r="N480" s="41">
        <f t="shared" si="232"/>
        <v>1</v>
      </c>
      <c r="O480" s="41">
        <f t="shared" si="235"/>
        <v>1.1481975967957276</v>
      </c>
      <c r="AC480" s="67">
        <f t="shared" si="238"/>
        <v>1.2285714285714284</v>
      </c>
      <c r="AD480" s="67">
        <f t="shared" si="238"/>
        <v>1.1481975967957276</v>
      </c>
    </row>
    <row r="481" spans="1:37" ht="33.75" outlineLevel="2" x14ac:dyDescent="0.25">
      <c r="A481" s="262" t="s">
        <v>1872</v>
      </c>
      <c r="B481" s="163" t="s">
        <v>1254</v>
      </c>
      <c r="C481" s="162" t="s">
        <v>1255</v>
      </c>
      <c r="D481" s="272" t="s">
        <v>319</v>
      </c>
      <c r="E481" s="162">
        <v>89.6</v>
      </c>
      <c r="F481" s="162">
        <v>88.2</v>
      </c>
      <c r="G481" s="162">
        <v>91.94</v>
      </c>
      <c r="H481" s="286">
        <f t="shared" si="241"/>
        <v>1.0424036281179139</v>
      </c>
      <c r="I481" s="286">
        <f t="shared" si="242"/>
        <v>1.0261160714285715</v>
      </c>
      <c r="J481" s="162" t="s">
        <v>1504</v>
      </c>
      <c r="K481" s="162" t="s">
        <v>41</v>
      </c>
      <c r="L481" s="162" t="s">
        <v>1252</v>
      </c>
      <c r="M481" s="40">
        <v>1</v>
      </c>
      <c r="N481" s="41">
        <f t="shared" si="232"/>
        <v>1</v>
      </c>
      <c r="O481" s="41">
        <f t="shared" si="235"/>
        <v>1.0261160714285715</v>
      </c>
      <c r="AC481" s="67">
        <f t="shared" si="238"/>
        <v>1.0424036281179139</v>
      </c>
      <c r="AD481" s="67">
        <f t="shared" si="238"/>
        <v>1.0261160714285715</v>
      </c>
    </row>
    <row r="482" spans="1:37" ht="45" outlineLevel="2" x14ac:dyDescent="0.25">
      <c r="A482" s="262" t="s">
        <v>1873</v>
      </c>
      <c r="B482" s="163" t="s">
        <v>1256</v>
      </c>
      <c r="C482" s="162" t="s">
        <v>1255</v>
      </c>
      <c r="D482" s="272" t="s">
        <v>319</v>
      </c>
      <c r="E482" s="162">
        <v>48.6</v>
      </c>
      <c r="F482" s="162">
        <v>45.2</v>
      </c>
      <c r="G482" s="162">
        <v>47.68</v>
      </c>
      <c r="H482" s="286">
        <f t="shared" si="241"/>
        <v>1.054867256637168</v>
      </c>
      <c r="I482" s="286">
        <f t="shared" si="242"/>
        <v>0.98106995884773662</v>
      </c>
      <c r="J482" s="162" t="s">
        <v>1505</v>
      </c>
      <c r="K482" s="162" t="s">
        <v>41</v>
      </c>
      <c r="L482" s="162" t="s">
        <v>1252</v>
      </c>
      <c r="M482" s="40">
        <v>1</v>
      </c>
      <c r="N482" s="41">
        <f t="shared" si="232"/>
        <v>1</v>
      </c>
      <c r="O482" s="41">
        <f t="shared" si="235"/>
        <v>0.98106995884773662</v>
      </c>
      <c r="AC482" s="67">
        <f t="shared" si="238"/>
        <v>1.054867256637168</v>
      </c>
      <c r="AD482" s="67">
        <f t="shared" si="238"/>
        <v>0.98106995884773662</v>
      </c>
    </row>
    <row r="483" spans="1:37" ht="56.25" outlineLevel="2" x14ac:dyDescent="0.25">
      <c r="A483" s="262" t="s">
        <v>1874</v>
      </c>
      <c r="B483" s="163" t="s">
        <v>1257</v>
      </c>
      <c r="C483" s="162" t="s">
        <v>321</v>
      </c>
      <c r="D483" s="272" t="s">
        <v>319</v>
      </c>
      <c r="E483" s="162">
        <v>72</v>
      </c>
      <c r="F483" s="162">
        <v>70.5</v>
      </c>
      <c r="G483" s="162">
        <v>78</v>
      </c>
      <c r="H483" s="286">
        <f t="shared" si="241"/>
        <v>1.1063829787234043</v>
      </c>
      <c r="I483" s="286">
        <f t="shared" si="242"/>
        <v>1.0833333333333333</v>
      </c>
      <c r="J483" s="162" t="s">
        <v>1506</v>
      </c>
      <c r="K483" s="162" t="s">
        <v>41</v>
      </c>
      <c r="L483" s="162" t="s">
        <v>1252</v>
      </c>
      <c r="M483" s="40">
        <v>1</v>
      </c>
      <c r="N483" s="41">
        <f t="shared" si="232"/>
        <v>1</v>
      </c>
      <c r="O483" s="41">
        <f t="shared" si="235"/>
        <v>1.0833333333333333</v>
      </c>
      <c r="AC483" s="67">
        <f t="shared" si="238"/>
        <v>1.1063829787234043</v>
      </c>
      <c r="AD483" s="67">
        <f t="shared" si="238"/>
        <v>1.0833333333333333</v>
      </c>
    </row>
    <row r="484" spans="1:37" ht="56.25" outlineLevel="2" x14ac:dyDescent="0.25">
      <c r="A484" s="262" t="s">
        <v>1875</v>
      </c>
      <c r="B484" s="163" t="s">
        <v>1258</v>
      </c>
      <c r="C484" s="162" t="s">
        <v>321</v>
      </c>
      <c r="D484" s="272" t="s">
        <v>319</v>
      </c>
      <c r="E484" s="162">
        <v>89.3</v>
      </c>
      <c r="F484" s="162">
        <v>89.8</v>
      </c>
      <c r="G484" s="162">
        <v>63.2</v>
      </c>
      <c r="H484" s="286">
        <f t="shared" ref="H484" si="243">G484/F484</f>
        <v>0.70378619153674837</v>
      </c>
      <c r="I484" s="286">
        <f t="shared" ref="I484" si="244">G484/E484</f>
        <v>0.70772676371780519</v>
      </c>
      <c r="J484" s="162" t="s">
        <v>1507</v>
      </c>
      <c r="K484" s="446" t="s">
        <v>1514</v>
      </c>
      <c r="L484" s="162" t="s">
        <v>1252</v>
      </c>
      <c r="M484" s="40">
        <v>1</v>
      </c>
      <c r="N484" s="41">
        <f t="shared" ref="N484" si="245">IF(H484&gt;1,1,H484)</f>
        <v>0.70378619153674837</v>
      </c>
      <c r="O484" s="41">
        <f t="shared" ref="O484" si="246">IF(I484&gt;1.25,1.25,I484)</f>
        <v>0.70772676371780519</v>
      </c>
      <c r="AC484" s="67">
        <f t="shared" ref="AC484" si="247">H484</f>
        <v>0.70378619153674837</v>
      </c>
      <c r="AD484" s="67">
        <f t="shared" ref="AD484" si="248">I484</f>
        <v>0.70772676371780519</v>
      </c>
    </row>
    <row r="485" spans="1:37" ht="56.25" outlineLevel="2" x14ac:dyDescent="0.25">
      <c r="A485" s="262" t="s">
        <v>1876</v>
      </c>
      <c r="B485" s="163" t="s">
        <v>1501</v>
      </c>
      <c r="C485" s="162" t="s">
        <v>448</v>
      </c>
      <c r="D485" s="272" t="s">
        <v>319</v>
      </c>
      <c r="E485" s="162" t="s">
        <v>41</v>
      </c>
      <c r="F485" s="162">
        <v>2700</v>
      </c>
      <c r="G485" s="162">
        <v>2735</v>
      </c>
      <c r="H485" s="286">
        <f t="shared" si="241"/>
        <v>1.0129629629629631</v>
      </c>
      <c r="I485" s="286" t="s">
        <v>41</v>
      </c>
      <c r="J485" s="162" t="s">
        <v>1508</v>
      </c>
      <c r="K485" s="162" t="s">
        <v>41</v>
      </c>
      <c r="L485" s="162" t="s">
        <v>1252</v>
      </c>
      <c r="M485" s="40">
        <v>1</v>
      </c>
      <c r="N485" s="41">
        <f t="shared" si="232"/>
        <v>1</v>
      </c>
      <c r="O485" s="41" t="s">
        <v>41</v>
      </c>
      <c r="AC485" s="67">
        <f t="shared" si="238"/>
        <v>1.0129629629629631</v>
      </c>
      <c r="AD485" s="67" t="str">
        <f t="shared" si="238"/>
        <v>-</v>
      </c>
    </row>
    <row r="486" spans="1:37" s="47" customFormat="1" outlineLevel="1" x14ac:dyDescent="0.25">
      <c r="A486" s="68" t="s">
        <v>177</v>
      </c>
      <c r="B486" s="572" t="s">
        <v>870</v>
      </c>
      <c r="C486" s="573"/>
      <c r="D486" s="573"/>
      <c r="E486" s="573"/>
      <c r="F486" s="573"/>
      <c r="G486" s="574"/>
      <c r="H486" s="69">
        <f>AVERAGE(N487:N490)</f>
        <v>1</v>
      </c>
      <c r="I486" s="69">
        <f>AVERAGE(O487:O490)</f>
        <v>1</v>
      </c>
      <c r="J486" s="70"/>
      <c r="K486" s="70"/>
      <c r="L486" s="71"/>
      <c r="M486" s="64"/>
      <c r="N486" s="41"/>
      <c r="O486" s="41"/>
      <c r="P486" s="49"/>
      <c r="Q486" s="49"/>
      <c r="R486" s="104">
        <f>COUNTA(C487:C490)</f>
        <v>4</v>
      </c>
      <c r="S486" s="103">
        <v>0</v>
      </c>
      <c r="T486" s="104">
        <f>COUNTIFS(AC487:AC490,"&gt;1,50")</f>
        <v>0</v>
      </c>
      <c r="U486" s="104">
        <f>COUNTIFS(AC487:AC490,"&gt;=0,995",AC487:AC490,"&lt;=1,5")</f>
        <v>4</v>
      </c>
      <c r="V486" s="104">
        <f>COUNTIFS(AC487:AC490,"&gt;=0,85",AC487:AC490,"&lt;0,995")</f>
        <v>0</v>
      </c>
      <c r="W486" s="104">
        <f>COUNTIFS(AC487:AC490,"&lt;0,85")</f>
        <v>0</v>
      </c>
      <c r="X486" s="52"/>
      <c r="Z486" s="96">
        <f>COUNTIFS(AD487:AD490,"&gt;=1,01")</f>
        <v>0</v>
      </c>
      <c r="AA486" s="96">
        <f>COUNTIFS(AD487:AD490,"&gt;=0,99",AD487:AD490,"&lt;1,01")</f>
        <v>4</v>
      </c>
      <c r="AB486" s="97">
        <f>COUNTIFS(AD487:AD490,"&lt;0,99")</f>
        <v>0</v>
      </c>
      <c r="AC486" s="67"/>
      <c r="AD486" s="67"/>
      <c r="AK486" s="47">
        <f>SUM(T486:X486)-R486</f>
        <v>0</v>
      </c>
    </row>
    <row r="487" spans="1:37" ht="58.5" customHeight="1" outlineLevel="2" x14ac:dyDescent="0.25">
      <c r="A487" s="262" t="s">
        <v>634</v>
      </c>
      <c r="B487" s="163" t="s">
        <v>871</v>
      </c>
      <c r="C487" s="162" t="s">
        <v>321</v>
      </c>
      <c r="D487" s="293" t="s">
        <v>319</v>
      </c>
      <c r="E487" s="162">
        <v>100</v>
      </c>
      <c r="F487" s="162">
        <v>100</v>
      </c>
      <c r="G487" s="162">
        <v>100</v>
      </c>
      <c r="H487" s="286">
        <f t="shared" ref="H487:H490" si="249">G487/F487</f>
        <v>1</v>
      </c>
      <c r="I487" s="286">
        <f t="shared" ref="I487:I490" si="250">G487/E487</f>
        <v>1</v>
      </c>
      <c r="J487" s="167" t="s">
        <v>41</v>
      </c>
      <c r="K487" s="167" t="s">
        <v>41</v>
      </c>
      <c r="L487" s="39" t="s">
        <v>178</v>
      </c>
      <c r="M487" s="40">
        <v>1</v>
      </c>
      <c r="N487" s="41">
        <f t="shared" si="232"/>
        <v>1</v>
      </c>
      <c r="O487" s="41">
        <f t="shared" si="235"/>
        <v>1</v>
      </c>
      <c r="AC487" s="67">
        <f t="shared" si="238"/>
        <v>1</v>
      </c>
      <c r="AD487" s="67">
        <f t="shared" si="238"/>
        <v>1</v>
      </c>
    </row>
    <row r="488" spans="1:37" ht="45" outlineLevel="2" x14ac:dyDescent="0.25">
      <c r="A488" s="262" t="s">
        <v>635</v>
      </c>
      <c r="B488" s="163" t="s">
        <v>647</v>
      </c>
      <c r="C488" s="162" t="s">
        <v>321</v>
      </c>
      <c r="D488" s="293" t="s">
        <v>319</v>
      </c>
      <c r="E488" s="162">
        <v>100</v>
      </c>
      <c r="F488" s="162">
        <v>100</v>
      </c>
      <c r="G488" s="162">
        <v>100</v>
      </c>
      <c r="H488" s="286">
        <f t="shared" si="249"/>
        <v>1</v>
      </c>
      <c r="I488" s="286">
        <f t="shared" si="250"/>
        <v>1</v>
      </c>
      <c r="J488" s="167" t="s">
        <v>41</v>
      </c>
      <c r="K488" s="167" t="s">
        <v>41</v>
      </c>
      <c r="L488" s="39" t="s">
        <v>178</v>
      </c>
      <c r="M488" s="40">
        <v>1</v>
      </c>
      <c r="N488" s="41">
        <f t="shared" si="232"/>
        <v>1</v>
      </c>
      <c r="O488" s="41">
        <f t="shared" si="235"/>
        <v>1</v>
      </c>
      <c r="AC488" s="67">
        <f t="shared" si="238"/>
        <v>1</v>
      </c>
      <c r="AD488" s="67">
        <f t="shared" si="238"/>
        <v>1</v>
      </c>
    </row>
    <row r="489" spans="1:37" ht="67.5" outlineLevel="2" x14ac:dyDescent="0.25">
      <c r="A489" s="262" t="s">
        <v>636</v>
      </c>
      <c r="B489" s="163" t="s">
        <v>648</v>
      </c>
      <c r="C489" s="162" t="s">
        <v>321</v>
      </c>
      <c r="D489" s="293" t="s">
        <v>319</v>
      </c>
      <c r="E489" s="162">
        <v>100</v>
      </c>
      <c r="F489" s="162">
        <v>95.8</v>
      </c>
      <c r="G489" s="162">
        <v>100</v>
      </c>
      <c r="H489" s="286">
        <f t="shared" si="249"/>
        <v>1.0438413361169103</v>
      </c>
      <c r="I489" s="286">
        <f t="shared" si="250"/>
        <v>1</v>
      </c>
      <c r="J489" s="162" t="s">
        <v>1509</v>
      </c>
      <c r="K489" s="167" t="s">
        <v>41</v>
      </c>
      <c r="L489" s="39" t="s">
        <v>178</v>
      </c>
      <c r="M489" s="40">
        <v>1</v>
      </c>
      <c r="N489" s="41">
        <f t="shared" si="232"/>
        <v>1</v>
      </c>
      <c r="O489" s="41">
        <f t="shared" si="235"/>
        <v>1</v>
      </c>
      <c r="AC489" s="67">
        <f t="shared" si="238"/>
        <v>1.0438413361169103</v>
      </c>
      <c r="AD489" s="67">
        <f t="shared" si="238"/>
        <v>1</v>
      </c>
    </row>
    <row r="490" spans="1:37" ht="45" outlineLevel="2" x14ac:dyDescent="0.25">
      <c r="A490" s="262" t="s">
        <v>1877</v>
      </c>
      <c r="B490" s="163" t="s">
        <v>649</v>
      </c>
      <c r="C490" s="162" t="s">
        <v>321</v>
      </c>
      <c r="D490" s="293" t="s">
        <v>319</v>
      </c>
      <c r="E490" s="162">
        <v>100</v>
      </c>
      <c r="F490" s="162">
        <v>100</v>
      </c>
      <c r="G490" s="162">
        <v>100</v>
      </c>
      <c r="H490" s="286">
        <f t="shared" si="249"/>
        <v>1</v>
      </c>
      <c r="I490" s="286">
        <f t="shared" si="250"/>
        <v>1</v>
      </c>
      <c r="J490" s="167" t="s">
        <v>41</v>
      </c>
      <c r="K490" s="167" t="s">
        <v>41</v>
      </c>
      <c r="L490" s="39" t="s">
        <v>178</v>
      </c>
      <c r="M490" s="40">
        <v>1</v>
      </c>
      <c r="N490" s="41">
        <f t="shared" si="232"/>
        <v>1</v>
      </c>
      <c r="O490" s="41">
        <f t="shared" si="235"/>
        <v>1</v>
      </c>
      <c r="AC490" s="67">
        <f t="shared" si="238"/>
        <v>1</v>
      </c>
      <c r="AD490" s="67">
        <f t="shared" si="238"/>
        <v>1</v>
      </c>
    </row>
    <row r="491" spans="1:37" s="47" customFormat="1" ht="47.25" customHeight="1" outlineLevel="1" x14ac:dyDescent="0.25">
      <c r="A491" s="68" t="s">
        <v>1878</v>
      </c>
      <c r="B491" s="572" t="s">
        <v>872</v>
      </c>
      <c r="C491" s="573"/>
      <c r="D491" s="573"/>
      <c r="E491" s="573"/>
      <c r="F491" s="573"/>
      <c r="G491" s="574"/>
      <c r="H491" s="69">
        <f>AVERAGE(N492:N493)</f>
        <v>0.89688622754491021</v>
      </c>
      <c r="I491" s="69">
        <v>1</v>
      </c>
      <c r="J491" s="70"/>
      <c r="K491" s="70"/>
      <c r="L491" s="71"/>
      <c r="M491" s="64"/>
      <c r="N491" s="41"/>
      <c r="O491" s="41"/>
      <c r="P491" s="49"/>
      <c r="Q491" s="49"/>
      <c r="R491" s="104">
        <f>COUNTA(C492:C493)</f>
        <v>2</v>
      </c>
      <c r="S491" s="103">
        <v>0</v>
      </c>
      <c r="T491" s="104">
        <f>COUNTIFS(AC492:AC493,"&gt;1,50")</f>
        <v>0</v>
      </c>
      <c r="U491" s="104">
        <f>COUNTIFS(AC492:AC493,"&gt;=0,995",AC492:AC493,"&lt;=1,5")</f>
        <v>1</v>
      </c>
      <c r="V491" s="104">
        <f>COUNTIFS(AC492:AC493,"&gt;=0,85",AC492:AC493,"&lt;0,995")</f>
        <v>0</v>
      </c>
      <c r="W491" s="104">
        <f>COUNTIFS(AC492:AC493,"&lt;0,85")</f>
        <v>1</v>
      </c>
      <c r="X491" s="52"/>
      <c r="Z491" s="96">
        <f>COUNTIFS(AD492:AD493,"&gt;=1,01")</f>
        <v>0</v>
      </c>
      <c r="AA491" s="96">
        <f>COUNTIFS(AD492:AD493,"&gt;=0,99",AD492:AD493,"&lt;1,01")</f>
        <v>1</v>
      </c>
      <c r="AB491" s="97">
        <f>COUNTIFS(AD492:AD493,"&lt;0,99")</f>
        <v>0</v>
      </c>
      <c r="AC491" s="67"/>
      <c r="AD491" s="67"/>
      <c r="AK491" s="47">
        <f>SUM(T491:X491)-R491</f>
        <v>0</v>
      </c>
    </row>
    <row r="492" spans="1:37" ht="56.25" outlineLevel="2" x14ac:dyDescent="0.25">
      <c r="A492" s="262" t="s">
        <v>1879</v>
      </c>
      <c r="B492" s="163" t="s">
        <v>873</v>
      </c>
      <c r="C492" s="162" t="s">
        <v>874</v>
      </c>
      <c r="D492" s="167" t="s">
        <v>339</v>
      </c>
      <c r="E492" s="162">
        <v>1</v>
      </c>
      <c r="F492" s="162">
        <v>1</v>
      </c>
      <c r="G492" s="162">
        <v>1</v>
      </c>
      <c r="H492" s="286">
        <f t="shared" ref="H492" si="251">G492/F492</f>
        <v>1</v>
      </c>
      <c r="I492" s="286">
        <f t="shared" ref="I492" si="252">G492/E492</f>
        <v>1</v>
      </c>
      <c r="J492" s="162" t="s">
        <v>41</v>
      </c>
      <c r="K492" s="162" t="s">
        <v>41</v>
      </c>
      <c r="L492" s="162" t="s">
        <v>876</v>
      </c>
      <c r="M492" s="40">
        <v>0</v>
      </c>
      <c r="N492" s="41">
        <f t="shared" si="232"/>
        <v>1</v>
      </c>
      <c r="O492" s="41" t="s">
        <v>41</v>
      </c>
      <c r="AC492" s="67">
        <f t="shared" si="238"/>
        <v>1</v>
      </c>
      <c r="AD492" s="67">
        <f t="shared" si="238"/>
        <v>1</v>
      </c>
    </row>
    <row r="493" spans="1:37" ht="67.5" outlineLevel="2" x14ac:dyDescent="0.25">
      <c r="A493" s="262" t="s">
        <v>1880</v>
      </c>
      <c r="B493" s="163" t="s">
        <v>875</v>
      </c>
      <c r="C493" s="162" t="s">
        <v>321</v>
      </c>
      <c r="D493" s="272" t="s">
        <v>319</v>
      </c>
      <c r="E493" s="162" t="s">
        <v>1478</v>
      </c>
      <c r="F493" s="162">
        <v>83.5</v>
      </c>
      <c r="G493" s="162" t="s">
        <v>1510</v>
      </c>
      <c r="H493" s="286">
        <f t="shared" ref="H493" si="253">G493/F493</f>
        <v>0.79377245508982042</v>
      </c>
      <c r="I493" s="286" t="s">
        <v>41</v>
      </c>
      <c r="J493" s="162" t="s">
        <v>1511</v>
      </c>
      <c r="K493" s="162" t="s">
        <v>41</v>
      </c>
      <c r="L493" s="162" t="s">
        <v>877</v>
      </c>
      <c r="M493" s="40">
        <v>1</v>
      </c>
      <c r="N493" s="41">
        <f t="shared" si="232"/>
        <v>0.79377245508982042</v>
      </c>
      <c r="O493" s="41" t="s">
        <v>41</v>
      </c>
      <c r="AC493" s="67">
        <f t="shared" si="238"/>
        <v>0.79377245508982042</v>
      </c>
      <c r="AD493" s="67" t="str">
        <f t="shared" si="238"/>
        <v>-</v>
      </c>
    </row>
    <row r="494" spans="1:37" x14ac:dyDescent="0.25">
      <c r="AC494" s="67"/>
      <c r="AD494" s="67"/>
    </row>
    <row r="496" spans="1:37" x14ac:dyDescent="0.25">
      <c r="A496" s="87">
        <v>1</v>
      </c>
      <c r="B496" s="90" t="s">
        <v>650</v>
      </c>
      <c r="R496" s="103">
        <f t="shared" ref="R496:W496" si="254">R6+R64+R107+R138+R158+R184+R211+R257+R278+R320+R352+R381+R409+R423+R447</f>
        <v>414</v>
      </c>
      <c r="S496" s="103">
        <f t="shared" si="254"/>
        <v>38</v>
      </c>
      <c r="T496" s="103">
        <f t="shared" si="254"/>
        <v>45</v>
      </c>
      <c r="U496" s="103">
        <f t="shared" si="254"/>
        <v>264</v>
      </c>
      <c r="V496" s="103">
        <f t="shared" si="254"/>
        <v>31</v>
      </c>
      <c r="W496" s="103">
        <f t="shared" si="254"/>
        <v>36</v>
      </c>
      <c r="X496" s="103"/>
      <c r="Y496" s="103"/>
      <c r="Z496" s="103">
        <f>Z6+Z64+Z107+Z138+Z158+Z184+Z211+Z257+Z278+Z320+Z352+Z381+Z409+Z423+Z447</f>
        <v>121</v>
      </c>
      <c r="AA496" s="103">
        <f>AA6+AA64+AA107+AA138+AA158+AA184+AA211+AA257+AA278+AA320+AA352+AA381+AA409+AA423+AA447</f>
        <v>71</v>
      </c>
      <c r="AB496" s="103">
        <f>AB6+AB64+AB107+AB138+AB158+AB184+AB211+AB257+AB278+AB320+AB352+AB381+AB409+AB423+AB447</f>
        <v>52</v>
      </c>
    </row>
    <row r="499" spans="1:6" x14ac:dyDescent="0.25">
      <c r="A499" s="579" t="s">
        <v>651</v>
      </c>
      <c r="B499" s="579"/>
      <c r="C499" s="579"/>
      <c r="D499" s="579"/>
      <c r="E499" s="579"/>
      <c r="F499" s="579"/>
    </row>
    <row r="500" spans="1:6" x14ac:dyDescent="0.25">
      <c r="A500" s="87">
        <v>1.1892857142857143</v>
      </c>
      <c r="B500" s="88" t="s">
        <v>980</v>
      </c>
    </row>
    <row r="501" spans="1:6" x14ac:dyDescent="0.25">
      <c r="A501" s="87">
        <v>1</v>
      </c>
      <c r="B501" s="88" t="s">
        <v>981</v>
      </c>
    </row>
    <row r="502" spans="1:6" x14ac:dyDescent="0.25">
      <c r="A502" s="87">
        <v>0.98062847876583248</v>
      </c>
      <c r="B502" s="88" t="s">
        <v>982</v>
      </c>
    </row>
    <row r="505" spans="1:6" ht="10.5" customHeight="1" x14ac:dyDescent="0.25"/>
    <row r="506" spans="1:6" ht="14.25" customHeight="1" x14ac:dyDescent="0.25"/>
    <row r="507" spans="1:6" ht="14.25" customHeight="1" x14ac:dyDescent="0.25"/>
    <row r="508" spans="1:6" ht="13.5" customHeight="1" x14ac:dyDescent="0.25"/>
    <row r="529" ht="18" customHeight="1" x14ac:dyDescent="0.25"/>
    <row r="530" ht="14.25" customHeight="1" x14ac:dyDescent="0.25"/>
    <row r="531" ht="15.75" customHeight="1" x14ac:dyDescent="0.25"/>
  </sheetData>
  <autoFilter ref="A4:O490"/>
  <mergeCells count="89">
    <mergeCell ref="B172:G172"/>
    <mergeCell ref="B184:G184"/>
    <mergeCell ref="B103:G103"/>
    <mergeCell ref="B153:G153"/>
    <mergeCell ref="B158:G158"/>
    <mergeCell ref="B166:G166"/>
    <mergeCell ref="B119:G119"/>
    <mergeCell ref="B132:G132"/>
    <mergeCell ref="B138:G138"/>
    <mergeCell ref="B141:G141"/>
    <mergeCell ref="B148:G148"/>
    <mergeCell ref="A2:L2"/>
    <mergeCell ref="A4:A5"/>
    <mergeCell ref="B4:B5"/>
    <mergeCell ref="C4:C5"/>
    <mergeCell ref="D4:D5"/>
    <mergeCell ref="F4:G4"/>
    <mergeCell ref="H4:H5"/>
    <mergeCell ref="I4:I5"/>
    <mergeCell ref="J4:J5"/>
    <mergeCell ref="K4:K5"/>
    <mergeCell ref="L4:L5"/>
    <mergeCell ref="M4:M5"/>
    <mergeCell ref="N4:N5"/>
    <mergeCell ref="O4:O5"/>
    <mergeCell ref="B6:G6"/>
    <mergeCell ref="B113:G113"/>
    <mergeCell ref="B25:G25"/>
    <mergeCell ref="B36:G36"/>
    <mergeCell ref="B42:G42"/>
    <mergeCell ref="B49:G49"/>
    <mergeCell ref="B56:G56"/>
    <mergeCell ref="B64:G64"/>
    <mergeCell ref="B73:G73"/>
    <mergeCell ref="B83:G83"/>
    <mergeCell ref="B93:G93"/>
    <mergeCell ref="B107:G107"/>
    <mergeCell ref="B16:G16"/>
    <mergeCell ref="B220:G220"/>
    <mergeCell ref="B176:G176"/>
    <mergeCell ref="B261:G261"/>
    <mergeCell ref="B257:G257"/>
    <mergeCell ref="B189:G189"/>
    <mergeCell ref="B239:G239"/>
    <mergeCell ref="B243:G243"/>
    <mergeCell ref="B232:G232"/>
    <mergeCell ref="B200:G200"/>
    <mergeCell ref="B209:G209"/>
    <mergeCell ref="B211:G211"/>
    <mergeCell ref="B196:G196"/>
    <mergeCell ref="B266:G266"/>
    <mergeCell ref="B274:G274"/>
    <mergeCell ref="B278:G278"/>
    <mergeCell ref="B286:G286"/>
    <mergeCell ref="B292:G292"/>
    <mergeCell ref="B299:G299"/>
    <mergeCell ref="B306:G306"/>
    <mergeCell ref="B316:G316"/>
    <mergeCell ref="B320:G320"/>
    <mergeCell ref="B324:G324"/>
    <mergeCell ref="B330:G330"/>
    <mergeCell ref="A499:F499"/>
    <mergeCell ref="B439:G439"/>
    <mergeCell ref="B442:G442"/>
    <mergeCell ref="B447:G447"/>
    <mergeCell ref="B456:G456"/>
    <mergeCell ref="B467:G467"/>
    <mergeCell ref="B475:G475"/>
    <mergeCell ref="B491:G491"/>
    <mergeCell ref="B374:G374"/>
    <mergeCell ref="B381:G381"/>
    <mergeCell ref="B386:G386"/>
    <mergeCell ref="B340:G340"/>
    <mergeCell ref="B254:G254"/>
    <mergeCell ref="B486:G486"/>
    <mergeCell ref="B61:G61"/>
    <mergeCell ref="B409:G409"/>
    <mergeCell ref="B413:G413"/>
    <mergeCell ref="B419:G419"/>
    <mergeCell ref="B423:G423"/>
    <mergeCell ref="B428:G428"/>
    <mergeCell ref="B434:G434"/>
    <mergeCell ref="B349:G349"/>
    <mergeCell ref="B352:G352"/>
    <mergeCell ref="B356:G356"/>
    <mergeCell ref="B366:G366"/>
    <mergeCell ref="B396:G396"/>
    <mergeCell ref="B401:G401"/>
    <mergeCell ref="B405:G405"/>
  </mergeCells>
  <conditionalFormatting sqref="A500:A502">
    <cfRule type="iconSet" priority="570">
      <iconSet iconSet="5Arrows" showValue="0">
        <cfvo type="percent" val="0"/>
        <cfvo type="num" val="0.99"/>
        <cfvo type="num" val="1"/>
        <cfvo type="num" val="1" gte="0"/>
        <cfvo type="num" val="1.01"/>
      </iconSet>
    </cfRule>
  </conditionalFormatting>
  <conditionalFormatting sqref="A496:A498">
    <cfRule type="iconSet" priority="569">
      <iconSet iconSet="3Symbols" showValue="0">
        <cfvo type="percent" val="0"/>
        <cfvo type="num" val="0.85"/>
        <cfvo type="num" val="0.995"/>
      </iconSet>
    </cfRule>
  </conditionalFormatting>
  <conditionalFormatting sqref="I278">
    <cfRule type="iconSet" priority="566">
      <iconSet iconSet="5Arrows">
        <cfvo type="percent" val="0"/>
        <cfvo type="num" val="0.99"/>
        <cfvo type="num" val="1"/>
        <cfvo type="num" val="1" gte="0"/>
        <cfvo type="num" val="1.01"/>
      </iconSet>
    </cfRule>
  </conditionalFormatting>
  <conditionalFormatting sqref="H278:I278">
    <cfRule type="iconSet" priority="565">
      <iconSet iconSet="3Symbols">
        <cfvo type="percent" val="0"/>
        <cfvo type="num" val="0.85"/>
        <cfvo type="num" val="0.995"/>
      </iconSet>
    </cfRule>
  </conditionalFormatting>
  <conditionalFormatting sqref="H274:I274">
    <cfRule type="iconSet" priority="559">
      <iconSet iconSet="3Symbols">
        <cfvo type="percent" val="0"/>
        <cfvo type="num" val="0.85"/>
        <cfvo type="num" val="0.995"/>
      </iconSet>
    </cfRule>
  </conditionalFormatting>
  <conditionalFormatting sqref="I286">
    <cfRule type="iconSet" priority="554">
      <iconSet iconSet="5Arrows">
        <cfvo type="percent" val="0"/>
        <cfvo type="num" val="0.99"/>
        <cfvo type="num" val="1"/>
        <cfvo type="num" val="1" gte="0"/>
        <cfvo type="num" val="1.01"/>
      </iconSet>
    </cfRule>
  </conditionalFormatting>
  <conditionalFormatting sqref="H286">
    <cfRule type="iconSet" priority="553">
      <iconSet iconSet="3Symbols">
        <cfvo type="percent" val="0"/>
        <cfvo type="num" val="0.85"/>
        <cfvo type="num" val="0.995"/>
      </iconSet>
    </cfRule>
  </conditionalFormatting>
  <conditionalFormatting sqref="I292">
    <cfRule type="iconSet" priority="550">
      <iconSet iconSet="5Arrows">
        <cfvo type="percent" val="0"/>
        <cfvo type="num" val="0.99"/>
        <cfvo type="num" val="1"/>
        <cfvo type="num" val="1" gte="0"/>
        <cfvo type="num" val="1.01"/>
      </iconSet>
    </cfRule>
  </conditionalFormatting>
  <conditionalFormatting sqref="H292">
    <cfRule type="iconSet" priority="549">
      <iconSet iconSet="3Symbols">
        <cfvo type="percent" val="0"/>
        <cfvo type="num" val="0.85"/>
        <cfvo type="num" val="0.995"/>
      </iconSet>
    </cfRule>
  </conditionalFormatting>
  <conditionalFormatting sqref="I299">
    <cfRule type="iconSet" priority="548">
      <iconSet iconSet="5Arrows">
        <cfvo type="percent" val="0"/>
        <cfvo type="num" val="0.99"/>
        <cfvo type="num" val="1"/>
        <cfvo type="num" val="1" gte="0"/>
        <cfvo type="num" val="1.01"/>
      </iconSet>
    </cfRule>
  </conditionalFormatting>
  <conditionalFormatting sqref="H299:I299">
    <cfRule type="iconSet" priority="547">
      <iconSet iconSet="3Symbols">
        <cfvo type="percent" val="0"/>
        <cfvo type="num" val="0.85"/>
        <cfvo type="num" val="0.995"/>
      </iconSet>
    </cfRule>
  </conditionalFormatting>
  <conditionalFormatting sqref="I306">
    <cfRule type="iconSet" priority="538">
      <iconSet iconSet="5Arrows">
        <cfvo type="percent" val="0"/>
        <cfvo type="num" val="0.99"/>
        <cfvo type="num" val="1"/>
        <cfvo type="num" val="1" gte="0"/>
        <cfvo type="num" val="1.01"/>
      </iconSet>
    </cfRule>
  </conditionalFormatting>
  <conditionalFormatting sqref="H306">
    <cfRule type="iconSet" priority="537">
      <iconSet iconSet="3Symbols">
        <cfvo type="percent" val="0"/>
        <cfvo type="num" val="0.85"/>
        <cfvo type="num" val="0.995"/>
      </iconSet>
    </cfRule>
  </conditionalFormatting>
  <conditionalFormatting sqref="I316">
    <cfRule type="iconSet" priority="534">
      <iconSet iconSet="5Arrows">
        <cfvo type="percent" val="0"/>
        <cfvo type="num" val="0.99"/>
        <cfvo type="num" val="1"/>
        <cfvo type="num" val="1" gte="0"/>
        <cfvo type="num" val="1.01"/>
      </iconSet>
    </cfRule>
  </conditionalFormatting>
  <conditionalFormatting sqref="H316">
    <cfRule type="iconSet" priority="533">
      <iconSet iconSet="3Symbols">
        <cfvo type="percent" val="0"/>
        <cfvo type="num" val="0.85"/>
        <cfvo type="num" val="0.995"/>
      </iconSet>
    </cfRule>
  </conditionalFormatting>
  <conditionalFormatting sqref="I356">
    <cfRule type="iconSet" priority="521">
      <iconSet iconSet="5Arrows">
        <cfvo type="percent" val="0"/>
        <cfvo type="num" val="0.99"/>
        <cfvo type="num" val="1"/>
        <cfvo type="num" val="1" gte="0"/>
        <cfvo type="num" val="1.01"/>
      </iconSet>
    </cfRule>
  </conditionalFormatting>
  <conditionalFormatting sqref="I107">
    <cfRule type="iconSet" priority="519">
      <iconSet iconSet="5Arrows">
        <cfvo type="percent" val="0"/>
        <cfvo type="num" val="0.99"/>
        <cfvo type="num" val="1"/>
        <cfvo type="num" val="1" gte="0"/>
        <cfvo type="num" val="1.01"/>
      </iconSet>
    </cfRule>
  </conditionalFormatting>
  <conditionalFormatting sqref="I113">
    <cfRule type="iconSet" priority="518">
      <iconSet iconSet="5Arrows">
        <cfvo type="percent" val="0"/>
        <cfvo type="num" val="0.99"/>
        <cfvo type="num" val="1"/>
        <cfvo type="num" val="1" gte="0"/>
        <cfvo type="num" val="1.01"/>
      </iconSet>
    </cfRule>
  </conditionalFormatting>
  <conditionalFormatting sqref="I132">
    <cfRule type="iconSet" priority="517">
      <iconSet iconSet="5Arrows">
        <cfvo type="percent" val="0"/>
        <cfvo type="num" val="0.99"/>
        <cfvo type="num" val="1"/>
        <cfvo type="num" val="1" gte="0"/>
        <cfvo type="num" val="1.01"/>
      </iconSet>
    </cfRule>
  </conditionalFormatting>
  <conditionalFormatting sqref="I405">
    <cfRule type="iconSet" priority="515">
      <iconSet iconSet="5Arrows">
        <cfvo type="percent" val="0"/>
        <cfvo type="num" val="0.99"/>
        <cfvo type="num" val="1"/>
        <cfvo type="num" val="1" gte="0"/>
        <cfvo type="num" val="1.01"/>
      </iconSet>
    </cfRule>
  </conditionalFormatting>
  <conditionalFormatting sqref="I401">
    <cfRule type="iconSet" priority="514">
      <iconSet iconSet="5Arrows">
        <cfvo type="percent" val="0"/>
        <cfvo type="num" val="0.99"/>
        <cfvo type="num" val="1"/>
        <cfvo type="num" val="1" gte="0"/>
        <cfvo type="num" val="1.01"/>
      </iconSet>
    </cfRule>
  </conditionalFormatting>
  <conditionalFormatting sqref="I396">
    <cfRule type="iconSet" priority="513">
      <iconSet iconSet="5Arrows">
        <cfvo type="percent" val="0"/>
        <cfvo type="num" val="0.99"/>
        <cfvo type="num" val="1"/>
        <cfvo type="num" val="1" gte="0"/>
        <cfvo type="num" val="1.01"/>
      </iconSet>
    </cfRule>
  </conditionalFormatting>
  <conditionalFormatting sqref="I386">
    <cfRule type="iconSet" priority="512">
      <iconSet iconSet="5Arrows">
        <cfvo type="percent" val="0"/>
        <cfvo type="num" val="0.99"/>
        <cfvo type="num" val="1"/>
        <cfvo type="num" val="1" gte="0"/>
        <cfvo type="num" val="1.01"/>
      </iconSet>
    </cfRule>
  </conditionalFormatting>
  <conditionalFormatting sqref="I381">
    <cfRule type="iconSet" priority="511">
      <iconSet iconSet="5Arrows">
        <cfvo type="percent" val="0"/>
        <cfvo type="num" val="0.99"/>
        <cfvo type="num" val="1"/>
        <cfvo type="num" val="1" gte="0"/>
        <cfvo type="num" val="1.01"/>
      </iconSet>
    </cfRule>
  </conditionalFormatting>
  <conditionalFormatting sqref="I64">
    <cfRule type="iconSet" priority="510">
      <iconSet iconSet="5Arrows">
        <cfvo type="percent" val="0"/>
        <cfvo type="num" val="0.99"/>
        <cfvo type="num" val="1"/>
        <cfvo type="num" val="1" gte="0"/>
        <cfvo type="num" val="1.01"/>
      </iconSet>
    </cfRule>
  </conditionalFormatting>
  <conditionalFormatting sqref="I138">
    <cfRule type="iconSet" priority="509">
      <iconSet iconSet="5Arrows">
        <cfvo type="percent" val="0"/>
        <cfvo type="num" val="0.99"/>
        <cfvo type="num" val="1"/>
        <cfvo type="num" val="1" gte="0"/>
        <cfvo type="num" val="1.01"/>
      </iconSet>
    </cfRule>
  </conditionalFormatting>
  <conditionalFormatting sqref="I211">
    <cfRule type="iconSet" priority="508">
      <iconSet iconSet="5Arrows">
        <cfvo type="percent" val="0"/>
        <cfvo type="num" val="0.99"/>
        <cfvo type="num" val="1"/>
        <cfvo type="num" val="1" gte="0"/>
        <cfvo type="num" val="1.01"/>
      </iconSet>
    </cfRule>
  </conditionalFormatting>
  <conditionalFormatting sqref="I220">
    <cfRule type="iconSet" priority="507">
      <iconSet iconSet="5Arrows">
        <cfvo type="percent" val="0"/>
        <cfvo type="num" val="0.99"/>
        <cfvo type="num" val="1"/>
        <cfvo type="num" val="1" gte="0"/>
        <cfvo type="num" val="1.01"/>
      </iconSet>
    </cfRule>
  </conditionalFormatting>
  <conditionalFormatting sqref="I243">
    <cfRule type="iconSet" priority="506">
      <iconSet iconSet="5Arrows">
        <cfvo type="percent" val="0"/>
        <cfvo type="num" val="0.99"/>
        <cfvo type="num" val="1"/>
        <cfvo type="num" val="1" gte="0"/>
        <cfvo type="num" val="1.01"/>
      </iconSet>
    </cfRule>
  </conditionalFormatting>
  <conditionalFormatting sqref="I61">
    <cfRule type="iconSet" priority="504">
      <iconSet iconSet="5Arrows">
        <cfvo type="percent" val="0"/>
        <cfvo type="num" val="0.99"/>
        <cfvo type="num" val="1"/>
        <cfvo type="num" val="1" gte="0"/>
        <cfvo type="num" val="1.01"/>
      </iconSet>
    </cfRule>
  </conditionalFormatting>
  <conditionalFormatting sqref="H61:I61">
    <cfRule type="iconSet" priority="500">
      <iconSet iconSet="3Symbols">
        <cfvo type="percent" val="0"/>
        <cfvo type="num" val="0.85"/>
        <cfvo type="num" val="0.995"/>
      </iconSet>
    </cfRule>
  </conditionalFormatting>
  <conditionalFormatting sqref="H232">
    <cfRule type="iconSet" priority="457">
      <iconSet iconSet="5Arrows">
        <cfvo type="percent" val="0"/>
        <cfvo type="num" val="0.99"/>
        <cfvo type="num" val="1"/>
        <cfvo type="num" val="1" gte="0"/>
        <cfvo type="num" val="1.01"/>
      </iconSet>
    </cfRule>
  </conditionalFormatting>
  <conditionalFormatting sqref="H239">
    <cfRule type="iconSet" priority="456">
      <iconSet iconSet="5Arrows">
        <cfvo type="percent" val="0"/>
        <cfvo type="num" val="0.99"/>
        <cfvo type="num" val="1"/>
        <cfvo type="num" val="1" gte="0"/>
        <cfvo type="num" val="1.01"/>
      </iconSet>
    </cfRule>
  </conditionalFormatting>
  <conditionalFormatting sqref="H220">
    <cfRule type="iconSet" priority="450">
      <iconSet iconSet="5Arrows">
        <cfvo type="percent" val="0"/>
        <cfvo type="num" val="0.99"/>
        <cfvo type="num" val="1"/>
        <cfvo type="num" val="1" gte="0"/>
        <cfvo type="num" val="1.01"/>
      </iconSet>
    </cfRule>
  </conditionalFormatting>
  <conditionalFormatting sqref="H211:I211">
    <cfRule type="iconSet" priority="449">
      <iconSet iconSet="5Arrows">
        <cfvo type="percent" val="0"/>
        <cfvo type="num" val="0.99"/>
        <cfvo type="num" val="1"/>
        <cfvo type="num" val="1" gte="0"/>
        <cfvo type="num" val="1.01"/>
      </iconSet>
    </cfRule>
  </conditionalFormatting>
  <conditionalFormatting sqref="I254">
    <cfRule type="iconSet" priority="434">
      <iconSet iconSet="5Arrows">
        <cfvo type="percent" val="0"/>
        <cfvo type="num" val="0.99"/>
        <cfvo type="num" val="1"/>
        <cfvo type="num" val="1" gte="0"/>
        <cfvo type="num" val="1.01"/>
      </iconSet>
    </cfRule>
  </conditionalFormatting>
  <conditionalFormatting sqref="H254">
    <cfRule type="iconSet" priority="2913">
      <iconSet iconSet="5Arrows">
        <cfvo type="percent" val="0"/>
        <cfvo type="num" val="0.99"/>
        <cfvo type="num" val="1"/>
        <cfvo type="num" val="1" gte="0"/>
        <cfvo type="num" val="1.01"/>
      </iconSet>
    </cfRule>
  </conditionalFormatting>
  <conditionalFormatting sqref="H254">
    <cfRule type="iconSet" priority="2915">
      <iconSet iconSet="5Arrows">
        <cfvo type="percent" val="0"/>
        <cfvo type="num" val="0.99"/>
        <cfvo type="num" val="1"/>
        <cfvo type="num" val="1" gte="0"/>
        <cfvo type="num" val="1.01"/>
      </iconSet>
    </cfRule>
  </conditionalFormatting>
  <conditionalFormatting sqref="H456 H434 H6:I6 H257 H340 H64 H405 H16 H25 H36 H42 H49 H56 H73 H83 H93 H103 H107:I107 H113 H119 H132:I132 H138 H141 H148 H153 H158 H166:I166 H172 H176:I176 H184:I184 H189 H196 H200 H209 H211:I211 H220 H232 H239 H243 H254 H261 H266 H278:I278 H286 H292 H299:I299 H306 H316 H324:I324 H330 H349 H352 H356:I356 H366:I366 H374 H381:I381 H396 H401 H409 H413 H419 H423 H428 H439 H442 H447:I447 H467 H475 H486 H491 H386:I386 H274:I274">
    <cfRule type="iconSet" priority="3138">
      <iconSet iconSet="3Symbols">
        <cfvo type="percent" val="0"/>
        <cfvo type="num" val="0.85"/>
        <cfvo type="num" val="0.995"/>
      </iconSet>
    </cfRule>
  </conditionalFormatting>
  <conditionalFormatting sqref="I456 I409 I374 I254 I6 I119 I434 I340 I232 I141 I16 I25 I36 I42 I49 I56 I73 I83 I93 I103 I148 I153 I158 I166 I172 I176 I184 I189 I196 I200 I209 I239 I257 I261 I266 I278 I286 I292 I299 I306 I316 I330 I349 I413 I419 I423 I428 I439 I442 I447 I467 I475 I486 I491">
    <cfRule type="iconSet" priority="3165">
      <iconSet iconSet="5Arrows">
        <cfvo type="percent" val="0"/>
        <cfvo type="num" val="0.99"/>
        <cfvo type="num" val="1"/>
        <cfvo type="num" val="1" gte="0"/>
        <cfvo type="num" val="1.01"/>
      </iconSet>
    </cfRule>
  </conditionalFormatting>
  <conditionalFormatting sqref="H7:H15">
    <cfRule type="iconSet" priority="414">
      <iconSet iconSet="3Symbols">
        <cfvo type="percent" val="0"/>
        <cfvo type="num" val="0.85"/>
        <cfvo type="num" val="0.995"/>
      </iconSet>
    </cfRule>
  </conditionalFormatting>
  <conditionalFormatting sqref="I7:I15">
    <cfRule type="iconSet" priority="415">
      <iconSet iconSet="5Arrows">
        <cfvo type="percent" val="0"/>
        <cfvo type="num" val="0.99"/>
        <cfvo type="num" val="1"/>
        <cfvo type="num" val="1" gte="0"/>
        <cfvo type="num" val="1.01"/>
      </iconSet>
    </cfRule>
  </conditionalFormatting>
  <conditionalFormatting sqref="I21">
    <cfRule type="iconSet" priority="411">
      <iconSet iconSet="3Symbols">
        <cfvo type="percent" val="0"/>
        <cfvo type="num" val="0.85"/>
        <cfvo type="num" val="0.995"/>
      </iconSet>
    </cfRule>
  </conditionalFormatting>
  <conditionalFormatting sqref="I30">
    <cfRule type="iconSet" priority="408">
      <iconSet iconSet="3Symbols">
        <cfvo type="percent" val="0"/>
        <cfvo type="num" val="0.85"/>
        <cfvo type="num" val="0.995"/>
      </iconSet>
    </cfRule>
  </conditionalFormatting>
  <conditionalFormatting sqref="I31:I35">
    <cfRule type="iconSet" priority="407">
      <iconSet iconSet="3Symbols">
        <cfvo type="percent" val="0"/>
        <cfvo type="num" val="0.85"/>
        <cfvo type="num" val="0.995"/>
      </iconSet>
    </cfRule>
  </conditionalFormatting>
  <conditionalFormatting sqref="H26:H35">
    <cfRule type="iconSet" priority="409">
      <iconSet iconSet="3Symbols">
        <cfvo type="percent" val="0"/>
        <cfvo type="num" val="0.85"/>
        <cfvo type="num" val="0.995"/>
      </iconSet>
    </cfRule>
  </conditionalFormatting>
  <conditionalFormatting sqref="I26:I35">
    <cfRule type="iconSet" priority="410">
      <iconSet iconSet="5Arrows">
        <cfvo type="percent" val="0"/>
        <cfvo type="num" val="0.99"/>
        <cfvo type="num" val="1"/>
        <cfvo type="num" val="1" gte="0"/>
        <cfvo type="num" val="1.01"/>
      </iconSet>
    </cfRule>
  </conditionalFormatting>
  <conditionalFormatting sqref="H37:I41">
    <cfRule type="iconSet" priority="405">
      <iconSet iconSet="3Symbols">
        <cfvo type="percent" val="0"/>
        <cfvo type="num" val="0.85"/>
        <cfvo type="num" val="0.995"/>
      </iconSet>
    </cfRule>
  </conditionalFormatting>
  <conditionalFormatting sqref="I37:I41">
    <cfRule type="iconSet" priority="406">
      <iconSet iconSet="5Arrows">
        <cfvo type="percent" val="0"/>
        <cfvo type="num" val="0.99"/>
        <cfvo type="num" val="1"/>
        <cfvo type="num" val="1" gte="0"/>
        <cfvo type="num" val="1.01"/>
      </iconSet>
    </cfRule>
  </conditionalFormatting>
  <conditionalFormatting sqref="H43:H45">
    <cfRule type="iconSet" priority="400">
      <iconSet iconSet="3Symbols">
        <cfvo type="percent" val="0"/>
        <cfvo type="num" val="0.85"/>
        <cfvo type="num" val="0.995"/>
      </iconSet>
    </cfRule>
  </conditionalFormatting>
  <conditionalFormatting sqref="I43:I48">
    <cfRule type="iconSet" priority="401">
      <iconSet iconSet="5Arrows">
        <cfvo type="percent" val="0"/>
        <cfvo type="num" val="0.99"/>
        <cfvo type="num" val="1"/>
        <cfvo type="num" val="1" gte="0"/>
        <cfvo type="num" val="1.01"/>
      </iconSet>
    </cfRule>
  </conditionalFormatting>
  <conditionalFormatting sqref="H50:H55">
    <cfRule type="iconSet" priority="393">
      <iconSet iconSet="3Symbols">
        <cfvo type="percent" val="0"/>
        <cfvo type="num" val="0.85"/>
        <cfvo type="num" val="0.995"/>
      </iconSet>
    </cfRule>
  </conditionalFormatting>
  <conditionalFormatting sqref="I50:I55">
    <cfRule type="iconSet" priority="394">
      <iconSet iconSet="5Arrows">
        <cfvo type="percent" val="0"/>
        <cfvo type="num" val="0.99"/>
        <cfvo type="num" val="1"/>
        <cfvo type="num" val="1" gte="0"/>
        <cfvo type="num" val="1.01"/>
      </iconSet>
    </cfRule>
  </conditionalFormatting>
  <conditionalFormatting sqref="H57:H60">
    <cfRule type="iconSet" priority="391">
      <iconSet iconSet="3Symbols">
        <cfvo type="percent" val="0"/>
        <cfvo type="num" val="0.85"/>
        <cfvo type="num" val="0.995"/>
      </iconSet>
    </cfRule>
  </conditionalFormatting>
  <conditionalFormatting sqref="I57:I60">
    <cfRule type="iconSet" priority="392">
      <iconSet iconSet="5Arrows">
        <cfvo type="percent" val="0"/>
        <cfvo type="num" val="0.99"/>
        <cfvo type="num" val="1"/>
        <cfvo type="num" val="1" gte="0"/>
        <cfvo type="num" val="1.01"/>
      </iconSet>
    </cfRule>
  </conditionalFormatting>
  <conditionalFormatting sqref="H62:H63">
    <cfRule type="iconSet" priority="388">
      <iconSet iconSet="3Symbols">
        <cfvo type="percent" val="0"/>
        <cfvo type="num" val="0.85"/>
        <cfvo type="num" val="0.995"/>
      </iconSet>
    </cfRule>
  </conditionalFormatting>
  <conditionalFormatting sqref="I62:I63">
    <cfRule type="iconSet" priority="387">
      <iconSet iconSet="5Arrows">
        <cfvo type="percent" val="0"/>
        <cfvo type="num" val="0.99"/>
        <cfvo type="num" val="1"/>
        <cfvo type="num" val="1" gte="0"/>
        <cfvo type="num" val="1.01"/>
      </iconSet>
    </cfRule>
  </conditionalFormatting>
  <conditionalFormatting sqref="H65:H69 H72">
    <cfRule type="iconSet" priority="385">
      <iconSet iconSet="3Symbols">
        <cfvo type="percent" val="0"/>
        <cfvo type="num" val="0.85"/>
        <cfvo type="num" val="0.995"/>
      </iconSet>
    </cfRule>
  </conditionalFormatting>
  <conditionalFormatting sqref="I65:I69 I72">
    <cfRule type="iconSet" priority="386">
      <iconSet iconSet="5Arrows">
        <cfvo type="percent" val="0"/>
        <cfvo type="num" val="0.99"/>
        <cfvo type="num" val="1"/>
        <cfvo type="num" val="1" gte="0"/>
        <cfvo type="num" val="1.01"/>
      </iconSet>
    </cfRule>
  </conditionalFormatting>
  <conditionalFormatting sqref="H82 H74:H80">
    <cfRule type="iconSet" priority="381">
      <iconSet iconSet="3Symbols">
        <cfvo type="percent" val="0"/>
        <cfvo type="num" val="0.85"/>
        <cfvo type="num" val="0.995"/>
      </iconSet>
    </cfRule>
  </conditionalFormatting>
  <conditionalFormatting sqref="I82 I74:I80">
    <cfRule type="iconSet" priority="382">
      <iconSet iconSet="5Arrows">
        <cfvo type="percent" val="0"/>
        <cfvo type="num" val="0.99"/>
        <cfvo type="num" val="1"/>
        <cfvo type="num" val="1" gte="0"/>
        <cfvo type="num" val="1.01"/>
      </iconSet>
    </cfRule>
  </conditionalFormatting>
  <conditionalFormatting sqref="H92 H84:H88">
    <cfRule type="iconSet" priority="379">
      <iconSet iconSet="3Symbols">
        <cfvo type="percent" val="0"/>
        <cfvo type="num" val="0.85"/>
        <cfvo type="num" val="0.995"/>
      </iconSet>
    </cfRule>
  </conditionalFormatting>
  <conditionalFormatting sqref="I92 I84:I88">
    <cfRule type="iconSet" priority="380">
      <iconSet iconSet="5Arrows">
        <cfvo type="percent" val="0"/>
        <cfvo type="num" val="0.99"/>
        <cfvo type="num" val="1"/>
        <cfvo type="num" val="1" gte="0"/>
        <cfvo type="num" val="1.01"/>
      </iconSet>
    </cfRule>
  </conditionalFormatting>
  <conditionalFormatting sqref="H94:H100">
    <cfRule type="iconSet" priority="375">
      <iconSet iconSet="3Symbols">
        <cfvo type="percent" val="0"/>
        <cfvo type="num" val="0.85"/>
        <cfvo type="num" val="0.995"/>
      </iconSet>
    </cfRule>
  </conditionalFormatting>
  <conditionalFormatting sqref="I94:I101">
    <cfRule type="iconSet" priority="376">
      <iconSet iconSet="5Arrows">
        <cfvo type="percent" val="0"/>
        <cfvo type="num" val="0.99"/>
        <cfvo type="num" val="1"/>
        <cfvo type="num" val="1" gte="0"/>
        <cfvo type="num" val="1.01"/>
      </iconSet>
    </cfRule>
  </conditionalFormatting>
  <conditionalFormatting sqref="H102">
    <cfRule type="iconSet" priority="373">
      <iconSet iconSet="3Symbols">
        <cfvo type="percent" val="0"/>
        <cfvo type="num" val="0.85"/>
        <cfvo type="num" val="0.995"/>
      </iconSet>
    </cfRule>
  </conditionalFormatting>
  <conditionalFormatting sqref="I102">
    <cfRule type="iconSet" priority="374">
      <iconSet iconSet="5Arrows">
        <cfvo type="percent" val="0"/>
        <cfvo type="num" val="0.99"/>
        <cfvo type="num" val="1"/>
        <cfvo type="num" val="1" gte="0"/>
        <cfvo type="num" val="1.01"/>
      </iconSet>
    </cfRule>
  </conditionalFormatting>
  <conditionalFormatting sqref="H104">
    <cfRule type="iconSet" priority="371">
      <iconSet iconSet="3Symbols">
        <cfvo type="percent" val="0"/>
        <cfvo type="num" val="0.85"/>
        <cfvo type="num" val="0.995"/>
      </iconSet>
    </cfRule>
  </conditionalFormatting>
  <conditionalFormatting sqref="I104">
    <cfRule type="iconSet" priority="372">
      <iconSet iconSet="5Arrows">
        <cfvo type="percent" val="0"/>
        <cfvo type="num" val="0.99"/>
        <cfvo type="num" val="1"/>
        <cfvo type="num" val="1" gte="0"/>
        <cfvo type="num" val="1.01"/>
      </iconSet>
    </cfRule>
  </conditionalFormatting>
  <conditionalFormatting sqref="H108:H112">
    <cfRule type="iconSet" priority="369">
      <iconSet iconSet="3Symbols">
        <cfvo type="percent" val="0"/>
        <cfvo type="num" val="0.85"/>
        <cfvo type="num" val="0.995"/>
      </iconSet>
    </cfRule>
  </conditionalFormatting>
  <conditionalFormatting sqref="I108:I112">
    <cfRule type="iconSet" priority="370">
      <iconSet iconSet="5Arrows">
        <cfvo type="percent" val="0"/>
        <cfvo type="num" val="0.99"/>
        <cfvo type="num" val="1"/>
        <cfvo type="num" val="1" gte="0"/>
        <cfvo type="num" val="1.01"/>
      </iconSet>
    </cfRule>
  </conditionalFormatting>
  <conditionalFormatting sqref="H114:H116 H118">
    <cfRule type="iconSet" priority="367">
      <iconSet iconSet="3Symbols">
        <cfvo type="percent" val="0"/>
        <cfvo type="num" val="0.85"/>
        <cfvo type="num" val="0.995"/>
      </iconSet>
    </cfRule>
  </conditionalFormatting>
  <conditionalFormatting sqref="I114:I116 I118">
    <cfRule type="iconSet" priority="368">
      <iconSet iconSet="5Arrows">
        <cfvo type="percent" val="0"/>
        <cfvo type="num" val="0.99"/>
        <cfvo type="num" val="1"/>
        <cfvo type="num" val="1" gte="0"/>
        <cfvo type="num" val="1.01"/>
      </iconSet>
    </cfRule>
  </conditionalFormatting>
  <conditionalFormatting sqref="H120:H131">
    <cfRule type="iconSet" priority="365">
      <iconSet iconSet="3Symbols">
        <cfvo type="percent" val="0"/>
        <cfvo type="num" val="0.85"/>
        <cfvo type="num" val="0.995"/>
      </iconSet>
    </cfRule>
  </conditionalFormatting>
  <conditionalFormatting sqref="I120:I131">
    <cfRule type="iconSet" priority="366">
      <iconSet iconSet="5Arrows">
        <cfvo type="percent" val="0"/>
        <cfvo type="num" val="0.99"/>
        <cfvo type="num" val="1"/>
        <cfvo type="num" val="1" gte="0"/>
        <cfvo type="num" val="1.01"/>
      </iconSet>
    </cfRule>
  </conditionalFormatting>
  <conditionalFormatting sqref="H133:H135 H137">
    <cfRule type="iconSet" priority="363">
      <iconSet iconSet="3Symbols">
        <cfvo type="percent" val="0"/>
        <cfvo type="num" val="0.85"/>
        <cfvo type="num" val="0.995"/>
      </iconSet>
    </cfRule>
  </conditionalFormatting>
  <conditionalFormatting sqref="I133:I135 I137">
    <cfRule type="iconSet" priority="364">
      <iconSet iconSet="5Arrows">
        <cfvo type="percent" val="0"/>
        <cfvo type="num" val="0.99"/>
        <cfvo type="num" val="1"/>
        <cfvo type="num" val="1" gte="0"/>
        <cfvo type="num" val="1.01"/>
      </iconSet>
    </cfRule>
  </conditionalFormatting>
  <conditionalFormatting sqref="H139:H140">
    <cfRule type="iconSet" priority="359">
      <iconSet iconSet="3Symbols">
        <cfvo type="percent" val="0"/>
        <cfvo type="num" val="0.85"/>
        <cfvo type="num" val="0.995"/>
      </iconSet>
    </cfRule>
  </conditionalFormatting>
  <conditionalFormatting sqref="I139:I140">
    <cfRule type="iconSet" priority="360">
      <iconSet iconSet="5Arrows">
        <cfvo type="percent" val="0"/>
        <cfvo type="num" val="0.99"/>
        <cfvo type="num" val="1"/>
        <cfvo type="num" val="1" gte="0"/>
        <cfvo type="num" val="1.01"/>
      </iconSet>
    </cfRule>
  </conditionalFormatting>
  <conditionalFormatting sqref="H142:H144 H147">
    <cfRule type="iconSet" priority="357">
      <iconSet iconSet="3Symbols">
        <cfvo type="percent" val="0"/>
        <cfvo type="num" val="0.85"/>
        <cfvo type="num" val="0.995"/>
      </iconSet>
    </cfRule>
  </conditionalFormatting>
  <conditionalFormatting sqref="I142:I144 I147">
    <cfRule type="iconSet" priority="358">
      <iconSet iconSet="5Arrows">
        <cfvo type="percent" val="0"/>
        <cfvo type="num" val="0.99"/>
        <cfvo type="num" val="1"/>
        <cfvo type="num" val="1" gte="0"/>
        <cfvo type="num" val="1.01"/>
      </iconSet>
    </cfRule>
  </conditionalFormatting>
  <conditionalFormatting sqref="H149:H152">
    <cfRule type="iconSet" priority="355">
      <iconSet iconSet="3Symbols">
        <cfvo type="percent" val="0"/>
        <cfvo type="num" val="0.85"/>
        <cfvo type="num" val="0.995"/>
      </iconSet>
    </cfRule>
  </conditionalFormatting>
  <conditionalFormatting sqref="I149:I152">
    <cfRule type="iconSet" priority="356">
      <iconSet iconSet="5Arrows">
        <cfvo type="percent" val="0"/>
        <cfvo type="num" val="0.99"/>
        <cfvo type="num" val="1"/>
        <cfvo type="num" val="1" gte="0"/>
        <cfvo type="num" val="1.01"/>
      </iconSet>
    </cfRule>
  </conditionalFormatting>
  <conditionalFormatting sqref="H154:H157">
    <cfRule type="iconSet" priority="353">
      <iconSet iconSet="3Symbols">
        <cfvo type="percent" val="0"/>
        <cfvo type="num" val="0.85"/>
        <cfvo type="num" val="0.995"/>
      </iconSet>
    </cfRule>
  </conditionalFormatting>
  <conditionalFormatting sqref="I154:I157">
    <cfRule type="iconSet" priority="354">
      <iconSet iconSet="5Arrows">
        <cfvo type="percent" val="0"/>
        <cfvo type="num" val="0.99"/>
        <cfvo type="num" val="1"/>
        <cfvo type="num" val="1" gte="0"/>
        <cfvo type="num" val="1.01"/>
      </iconSet>
    </cfRule>
  </conditionalFormatting>
  <conditionalFormatting sqref="H159 H165">
    <cfRule type="iconSet" priority="351">
      <iconSet iconSet="3Symbols">
        <cfvo type="percent" val="0"/>
        <cfvo type="num" val="0.85"/>
        <cfvo type="num" val="0.995"/>
      </iconSet>
    </cfRule>
  </conditionalFormatting>
  <conditionalFormatting sqref="I159 I165">
    <cfRule type="iconSet" priority="352">
      <iconSet iconSet="5Arrows">
        <cfvo type="percent" val="0"/>
        <cfvo type="num" val="0.99"/>
        <cfvo type="num" val="1"/>
        <cfvo type="num" val="1" gte="0"/>
        <cfvo type="num" val="1.01"/>
      </iconSet>
    </cfRule>
  </conditionalFormatting>
  <conditionalFormatting sqref="H173:H175">
    <cfRule type="iconSet" priority="347">
      <iconSet iconSet="3Symbols">
        <cfvo type="percent" val="0"/>
        <cfvo type="num" val="0.85"/>
        <cfvo type="num" val="0.995"/>
      </iconSet>
    </cfRule>
  </conditionalFormatting>
  <conditionalFormatting sqref="I173:I175">
    <cfRule type="iconSet" priority="348">
      <iconSet iconSet="5Arrows">
        <cfvo type="percent" val="0"/>
        <cfvo type="num" val="0.99"/>
        <cfvo type="num" val="1"/>
        <cfvo type="num" val="1" gte="0"/>
        <cfvo type="num" val="1.01"/>
      </iconSet>
    </cfRule>
  </conditionalFormatting>
  <conditionalFormatting sqref="H185:H188">
    <cfRule type="iconSet" priority="341">
      <iconSet iconSet="3Symbols">
        <cfvo type="percent" val="0"/>
        <cfvo type="num" val="0.85"/>
        <cfvo type="num" val="0.995"/>
      </iconSet>
    </cfRule>
  </conditionalFormatting>
  <conditionalFormatting sqref="I185:I188">
    <cfRule type="iconSet" priority="342">
      <iconSet iconSet="5Arrows">
        <cfvo type="percent" val="0"/>
        <cfvo type="num" val="0.99"/>
        <cfvo type="num" val="1"/>
        <cfvo type="num" val="1" gte="0"/>
        <cfvo type="num" val="1.01"/>
      </iconSet>
    </cfRule>
  </conditionalFormatting>
  <conditionalFormatting sqref="H190:H193 H195">
    <cfRule type="iconSet" priority="339">
      <iconSet iconSet="3Symbols">
        <cfvo type="percent" val="0"/>
        <cfvo type="num" val="0.85"/>
        <cfvo type="num" val="0.995"/>
      </iconSet>
    </cfRule>
  </conditionalFormatting>
  <conditionalFormatting sqref="I190:I193 I195">
    <cfRule type="iconSet" priority="340">
      <iconSet iconSet="5Arrows">
        <cfvo type="percent" val="0"/>
        <cfvo type="num" val="0.99"/>
        <cfvo type="num" val="1"/>
        <cfvo type="num" val="1" gte="0"/>
        <cfvo type="num" val="1.01"/>
      </iconSet>
    </cfRule>
  </conditionalFormatting>
  <conditionalFormatting sqref="H197:H199">
    <cfRule type="iconSet" priority="337">
      <iconSet iconSet="3Symbols">
        <cfvo type="percent" val="0"/>
        <cfvo type="num" val="0.85"/>
        <cfvo type="num" val="0.995"/>
      </iconSet>
    </cfRule>
  </conditionalFormatting>
  <conditionalFormatting sqref="I197:I199">
    <cfRule type="iconSet" priority="338">
      <iconSet iconSet="5Arrows">
        <cfvo type="percent" val="0"/>
        <cfvo type="num" val="0.99"/>
        <cfvo type="num" val="1"/>
        <cfvo type="num" val="1" gte="0"/>
        <cfvo type="num" val="1.01"/>
      </iconSet>
    </cfRule>
  </conditionalFormatting>
  <conditionalFormatting sqref="H210">
    <cfRule type="iconSet" priority="333">
      <iconSet iconSet="3Symbols">
        <cfvo type="percent" val="0"/>
        <cfvo type="num" val="0.85"/>
        <cfvo type="num" val="0.995"/>
      </iconSet>
    </cfRule>
  </conditionalFormatting>
  <conditionalFormatting sqref="I210">
    <cfRule type="iconSet" priority="334">
      <iconSet iconSet="5Arrows">
        <cfvo type="percent" val="0"/>
        <cfvo type="num" val="0.99"/>
        <cfvo type="num" val="1"/>
        <cfvo type="num" val="1" gte="0"/>
        <cfvo type="num" val="1.01"/>
      </iconSet>
    </cfRule>
  </conditionalFormatting>
  <conditionalFormatting sqref="H212:H214 H219">
    <cfRule type="iconSet" priority="330">
      <iconSet iconSet="5Arrows">
        <cfvo type="percent" val="0"/>
        <cfvo type="num" val="0.99"/>
        <cfvo type="num" val="1"/>
        <cfvo type="num" val="1" gte="0"/>
        <cfvo type="num" val="1.01"/>
      </iconSet>
    </cfRule>
  </conditionalFormatting>
  <conditionalFormatting sqref="H212:H214 H219">
    <cfRule type="iconSet" priority="331">
      <iconSet iconSet="3Symbols">
        <cfvo type="percent" val="0"/>
        <cfvo type="num" val="0.85"/>
        <cfvo type="num" val="0.995"/>
      </iconSet>
    </cfRule>
  </conditionalFormatting>
  <conditionalFormatting sqref="I212:I214 I219">
    <cfRule type="iconSet" priority="332">
      <iconSet iconSet="5Arrows">
        <cfvo type="percent" val="0"/>
        <cfvo type="num" val="0.99"/>
        <cfvo type="num" val="1"/>
        <cfvo type="num" val="1" gte="0"/>
        <cfvo type="num" val="1.01"/>
      </iconSet>
    </cfRule>
  </conditionalFormatting>
  <conditionalFormatting sqref="H229">
    <cfRule type="iconSet" priority="321">
      <iconSet iconSet="5Arrows">
        <cfvo type="percent" val="0"/>
        <cfvo type="num" val="0.99"/>
        <cfvo type="num" val="1"/>
        <cfvo type="num" val="1" gte="0"/>
        <cfvo type="num" val="1.01"/>
      </iconSet>
    </cfRule>
  </conditionalFormatting>
  <conditionalFormatting sqref="H229">
    <cfRule type="iconSet" priority="322">
      <iconSet iconSet="3Symbols">
        <cfvo type="percent" val="0"/>
        <cfvo type="num" val="0.85"/>
        <cfvo type="num" val="0.995"/>
      </iconSet>
    </cfRule>
  </conditionalFormatting>
  <conditionalFormatting sqref="H230:H231">
    <cfRule type="iconSet" priority="317">
      <iconSet iconSet="5Arrows">
        <cfvo type="percent" val="0"/>
        <cfvo type="num" val="0.99"/>
        <cfvo type="num" val="1"/>
        <cfvo type="num" val="1" gte="0"/>
        <cfvo type="num" val="1.01"/>
      </iconSet>
    </cfRule>
  </conditionalFormatting>
  <conditionalFormatting sqref="H230:H231">
    <cfRule type="iconSet" priority="318">
      <iconSet iconSet="3Symbols">
        <cfvo type="percent" val="0"/>
        <cfvo type="num" val="0.85"/>
        <cfvo type="num" val="0.995"/>
      </iconSet>
    </cfRule>
  </conditionalFormatting>
  <conditionalFormatting sqref="I231">
    <cfRule type="iconSet" priority="315">
      <iconSet iconSet="5Arrows">
        <cfvo type="percent" val="0"/>
        <cfvo type="num" val="0.99"/>
        <cfvo type="num" val="1"/>
        <cfvo type="num" val="1" gte="0"/>
        <cfvo type="num" val="1.01"/>
      </iconSet>
    </cfRule>
  </conditionalFormatting>
  <conditionalFormatting sqref="I231">
    <cfRule type="iconSet" priority="316">
      <iconSet iconSet="3Symbols">
        <cfvo type="percent" val="0"/>
        <cfvo type="num" val="0.85"/>
        <cfvo type="num" val="0.995"/>
      </iconSet>
    </cfRule>
  </conditionalFormatting>
  <conditionalFormatting sqref="H233:H234 H237:H238">
    <cfRule type="iconSet" priority="308">
      <iconSet iconSet="5Arrows">
        <cfvo type="percent" val="0"/>
        <cfvo type="num" val="0.99"/>
        <cfvo type="num" val="1"/>
        <cfvo type="num" val="1" gte="0"/>
        <cfvo type="num" val="1.01"/>
      </iconSet>
    </cfRule>
  </conditionalFormatting>
  <conditionalFormatting sqref="H233:H234 H237">
    <cfRule type="iconSet" priority="307">
      <iconSet iconSet="5Arrows">
        <cfvo type="percent" val="0"/>
        <cfvo type="num" val="0.99"/>
        <cfvo type="num" val="1"/>
        <cfvo type="num" val="1" gte="0"/>
        <cfvo type="num" val="1.01"/>
      </iconSet>
    </cfRule>
  </conditionalFormatting>
  <conditionalFormatting sqref="H233:H234 H237:H238">
    <cfRule type="iconSet" priority="309">
      <iconSet iconSet="3Symbols">
        <cfvo type="percent" val="0"/>
        <cfvo type="num" val="0.85"/>
        <cfvo type="num" val="0.995"/>
      </iconSet>
    </cfRule>
  </conditionalFormatting>
  <conditionalFormatting sqref="I233:I234 I238">
    <cfRule type="iconSet" priority="310">
      <iconSet iconSet="5Arrows">
        <cfvo type="percent" val="0"/>
        <cfvo type="num" val="0.99"/>
        <cfvo type="num" val="1"/>
        <cfvo type="num" val="1" gte="0"/>
        <cfvo type="num" val="1.01"/>
      </iconSet>
    </cfRule>
  </conditionalFormatting>
  <conditionalFormatting sqref="H242">
    <cfRule type="iconSet" priority="304">
      <iconSet iconSet="5Arrows">
        <cfvo type="percent" val="0"/>
        <cfvo type="num" val="0.99"/>
        <cfvo type="num" val="1"/>
        <cfvo type="num" val="1" gte="0"/>
        <cfvo type="num" val="1.01"/>
      </iconSet>
    </cfRule>
  </conditionalFormatting>
  <conditionalFormatting sqref="H245:H251">
    <cfRule type="iconSet" priority="296">
      <iconSet iconSet="5Arrows">
        <cfvo type="percent" val="0"/>
        <cfvo type="num" val="0.99"/>
        <cfvo type="num" val="1"/>
        <cfvo type="num" val="1" gte="0"/>
        <cfvo type="num" val="1.01"/>
      </iconSet>
    </cfRule>
  </conditionalFormatting>
  <conditionalFormatting sqref="H245:H251">
    <cfRule type="iconSet" priority="297">
      <iconSet iconSet="3Symbols">
        <cfvo type="percent" val="0"/>
        <cfvo type="num" val="0.85"/>
        <cfvo type="num" val="0.995"/>
      </iconSet>
    </cfRule>
  </conditionalFormatting>
  <conditionalFormatting sqref="I245:I251">
    <cfRule type="iconSet" priority="298">
      <iconSet iconSet="5Arrows">
        <cfvo type="percent" val="0"/>
        <cfvo type="num" val="0.99"/>
        <cfvo type="num" val="1"/>
        <cfvo type="num" val="1" gte="0"/>
        <cfvo type="num" val="1.01"/>
      </iconSet>
    </cfRule>
  </conditionalFormatting>
  <conditionalFormatting sqref="H255:H256">
    <cfRule type="iconSet" priority="289">
      <iconSet iconSet="5Arrows">
        <cfvo type="percent" val="0"/>
        <cfvo type="num" val="0.99"/>
        <cfvo type="num" val="1"/>
        <cfvo type="num" val="1" gte="0"/>
        <cfvo type="num" val="1.01"/>
      </iconSet>
    </cfRule>
  </conditionalFormatting>
  <conditionalFormatting sqref="H255:H256">
    <cfRule type="iconSet" priority="290">
      <iconSet iconSet="5Arrows">
        <cfvo type="percent" val="0"/>
        <cfvo type="num" val="0.99"/>
        <cfvo type="num" val="1"/>
        <cfvo type="num" val="1" gte="0"/>
        <cfvo type="num" val="1.01"/>
      </iconSet>
    </cfRule>
  </conditionalFormatting>
  <conditionalFormatting sqref="H255:H256">
    <cfRule type="iconSet" priority="291">
      <iconSet iconSet="3Symbols">
        <cfvo type="percent" val="0"/>
        <cfvo type="num" val="0.85"/>
        <cfvo type="num" val="0.995"/>
      </iconSet>
    </cfRule>
  </conditionalFormatting>
  <conditionalFormatting sqref="I255:I256">
    <cfRule type="iconSet" priority="292">
      <iconSet iconSet="5Arrows">
        <cfvo type="percent" val="0"/>
        <cfvo type="num" val="0.99"/>
        <cfvo type="num" val="1"/>
        <cfvo type="num" val="1" gte="0"/>
        <cfvo type="num" val="1.01"/>
      </iconSet>
    </cfRule>
  </conditionalFormatting>
  <conditionalFormatting sqref="H258:H260">
    <cfRule type="iconSet" priority="263">
      <iconSet iconSet="3Symbols">
        <cfvo type="percent" val="0"/>
        <cfvo type="num" val="0.85"/>
        <cfvo type="num" val="0.995"/>
      </iconSet>
    </cfRule>
  </conditionalFormatting>
  <conditionalFormatting sqref="I258:I260">
    <cfRule type="iconSet" priority="264">
      <iconSet iconSet="5Arrows">
        <cfvo type="percent" val="0"/>
        <cfvo type="num" val="0.99"/>
        <cfvo type="num" val="1"/>
        <cfvo type="num" val="1" gte="0"/>
        <cfvo type="num" val="1.01"/>
      </iconSet>
    </cfRule>
  </conditionalFormatting>
  <conditionalFormatting sqref="H262:H265">
    <cfRule type="iconSet" priority="261">
      <iconSet iconSet="3Symbols">
        <cfvo type="percent" val="0"/>
        <cfvo type="num" val="0.85"/>
        <cfvo type="num" val="0.995"/>
      </iconSet>
    </cfRule>
  </conditionalFormatting>
  <conditionalFormatting sqref="I262:I265">
    <cfRule type="iconSet" priority="262">
      <iconSet iconSet="5Arrows">
        <cfvo type="percent" val="0"/>
        <cfvo type="num" val="0.99"/>
        <cfvo type="num" val="1"/>
        <cfvo type="num" val="1" gte="0"/>
        <cfvo type="num" val="1.01"/>
      </iconSet>
    </cfRule>
  </conditionalFormatting>
  <conditionalFormatting sqref="H267:H268">
    <cfRule type="iconSet" priority="259">
      <iconSet iconSet="3Symbols">
        <cfvo type="percent" val="0"/>
        <cfvo type="num" val="0.85"/>
        <cfvo type="num" val="0.995"/>
      </iconSet>
    </cfRule>
  </conditionalFormatting>
  <conditionalFormatting sqref="I267:I268">
    <cfRule type="iconSet" priority="260">
      <iconSet iconSet="5Arrows">
        <cfvo type="percent" val="0"/>
        <cfvo type="num" val="0.99"/>
        <cfvo type="num" val="1"/>
        <cfvo type="num" val="1" gte="0"/>
        <cfvo type="num" val="1.01"/>
      </iconSet>
    </cfRule>
  </conditionalFormatting>
  <conditionalFormatting sqref="H269">
    <cfRule type="iconSet" priority="257">
      <iconSet iconSet="3Symbols">
        <cfvo type="percent" val="0"/>
        <cfvo type="num" val="0.85"/>
        <cfvo type="num" val="0.995"/>
      </iconSet>
    </cfRule>
  </conditionalFormatting>
  <conditionalFormatting sqref="I269">
    <cfRule type="iconSet" priority="258">
      <iconSet iconSet="5Arrows">
        <cfvo type="percent" val="0"/>
        <cfvo type="num" val="0.99"/>
        <cfvo type="num" val="1"/>
        <cfvo type="num" val="1" gte="0"/>
        <cfvo type="num" val="1.01"/>
      </iconSet>
    </cfRule>
  </conditionalFormatting>
  <conditionalFormatting sqref="H270:H273">
    <cfRule type="iconSet" priority="255">
      <iconSet iconSet="3Symbols">
        <cfvo type="percent" val="0"/>
        <cfvo type="num" val="0.85"/>
        <cfvo type="num" val="0.995"/>
      </iconSet>
    </cfRule>
  </conditionalFormatting>
  <conditionalFormatting sqref="I270:I273">
    <cfRule type="iconSet" priority="256">
      <iconSet iconSet="5Arrows">
        <cfvo type="percent" val="0"/>
        <cfvo type="num" val="0.99"/>
        <cfvo type="num" val="1"/>
        <cfvo type="num" val="1" gte="0"/>
        <cfvo type="num" val="1.01"/>
      </iconSet>
    </cfRule>
  </conditionalFormatting>
  <conditionalFormatting sqref="H277">
    <cfRule type="iconSet" priority="252">
      <iconSet iconSet="3Symbols">
        <cfvo type="percent" val="0"/>
        <cfvo type="num" val="0.85"/>
        <cfvo type="num" val="0.995"/>
      </iconSet>
    </cfRule>
  </conditionalFormatting>
  <conditionalFormatting sqref="H277">
    <cfRule type="iconSet" priority="253">
      <iconSet iconSet="3Symbols">
        <cfvo type="percent" val="0"/>
        <cfvo type="num" val="0.85"/>
        <cfvo type="num" val="0.995"/>
      </iconSet>
    </cfRule>
  </conditionalFormatting>
  <conditionalFormatting sqref="H276">
    <cfRule type="iconSet" priority="248">
      <iconSet iconSet="3Symbols">
        <cfvo type="percent" val="0"/>
        <cfvo type="num" val="0.85"/>
        <cfvo type="num" val="0.995"/>
      </iconSet>
    </cfRule>
  </conditionalFormatting>
  <conditionalFormatting sqref="H276">
    <cfRule type="iconSet" priority="249">
      <iconSet iconSet="3Symbols">
        <cfvo type="percent" val="0"/>
        <cfvo type="num" val="0.85"/>
        <cfvo type="num" val="0.995"/>
      </iconSet>
    </cfRule>
  </conditionalFormatting>
  <conditionalFormatting sqref="H275">
    <cfRule type="iconSet" priority="244">
      <iconSet iconSet="3Symbols">
        <cfvo type="percent" val="0"/>
        <cfvo type="num" val="0.85"/>
        <cfvo type="num" val="0.995"/>
      </iconSet>
    </cfRule>
  </conditionalFormatting>
  <conditionalFormatting sqref="H275">
    <cfRule type="iconSet" priority="245">
      <iconSet iconSet="3Symbols">
        <cfvo type="percent" val="0"/>
        <cfvo type="num" val="0.85"/>
        <cfvo type="num" val="0.995"/>
      </iconSet>
    </cfRule>
  </conditionalFormatting>
  <conditionalFormatting sqref="I279:I285">
    <cfRule type="iconSet" priority="240">
      <iconSet iconSet="5Arrows">
        <cfvo type="percent" val="0"/>
        <cfvo type="num" val="0.99"/>
        <cfvo type="num" val="1"/>
        <cfvo type="num" val="1" gte="0"/>
        <cfvo type="num" val="1.01"/>
      </iconSet>
    </cfRule>
  </conditionalFormatting>
  <conditionalFormatting sqref="H279:H285">
    <cfRule type="iconSet" priority="239">
      <iconSet iconSet="3Symbols">
        <cfvo type="percent" val="0"/>
        <cfvo type="num" val="0.85"/>
        <cfvo type="num" val="0.995"/>
      </iconSet>
    </cfRule>
  </conditionalFormatting>
  <conditionalFormatting sqref="H279:H285">
    <cfRule type="iconSet" priority="241">
      <iconSet iconSet="3Symbols">
        <cfvo type="percent" val="0"/>
        <cfvo type="num" val="0.85"/>
        <cfvo type="num" val="0.995"/>
      </iconSet>
    </cfRule>
  </conditionalFormatting>
  <conditionalFormatting sqref="I279:I285">
    <cfRule type="iconSet" priority="242">
      <iconSet iconSet="5Arrows">
        <cfvo type="percent" val="0"/>
        <cfvo type="num" val="0.99"/>
        <cfvo type="num" val="1"/>
        <cfvo type="num" val="1" gte="0"/>
        <cfvo type="num" val="1.01"/>
      </iconSet>
    </cfRule>
  </conditionalFormatting>
  <conditionalFormatting sqref="I287:I291">
    <cfRule type="iconSet" priority="236">
      <iconSet iconSet="5Arrows">
        <cfvo type="percent" val="0"/>
        <cfvo type="num" val="0.99"/>
        <cfvo type="num" val="1"/>
        <cfvo type="num" val="1" gte="0"/>
        <cfvo type="num" val="1.01"/>
      </iconSet>
    </cfRule>
  </conditionalFormatting>
  <conditionalFormatting sqref="H287:H289 H291">
    <cfRule type="iconSet" priority="235">
      <iconSet iconSet="3Symbols">
        <cfvo type="percent" val="0"/>
        <cfvo type="num" val="0.85"/>
        <cfvo type="num" val="0.995"/>
      </iconSet>
    </cfRule>
  </conditionalFormatting>
  <conditionalFormatting sqref="H287:H289">
    <cfRule type="iconSet" priority="237">
      <iconSet iconSet="3Symbols">
        <cfvo type="percent" val="0"/>
        <cfvo type="num" val="0.85"/>
        <cfvo type="num" val="0.995"/>
      </iconSet>
    </cfRule>
  </conditionalFormatting>
  <conditionalFormatting sqref="I287:I291">
    <cfRule type="iconSet" priority="238">
      <iconSet iconSet="5Arrows">
        <cfvo type="percent" val="0"/>
        <cfvo type="num" val="0.99"/>
        <cfvo type="num" val="1"/>
        <cfvo type="num" val="1" gte="0"/>
        <cfvo type="num" val="1.01"/>
      </iconSet>
    </cfRule>
  </conditionalFormatting>
  <conditionalFormatting sqref="H290">
    <cfRule type="iconSet" priority="231">
      <iconSet iconSet="3Symbols">
        <cfvo type="percent" val="0"/>
        <cfvo type="num" val="0.85"/>
        <cfvo type="num" val="0.995"/>
      </iconSet>
    </cfRule>
  </conditionalFormatting>
  <conditionalFormatting sqref="H290">
    <cfRule type="iconSet" priority="233">
      <iconSet iconSet="3Symbols">
        <cfvo type="percent" val="0"/>
        <cfvo type="num" val="0.85"/>
        <cfvo type="num" val="0.995"/>
      </iconSet>
    </cfRule>
  </conditionalFormatting>
  <conditionalFormatting sqref="I302:I303 I305">
    <cfRule type="iconSet" priority="223">
      <iconSet iconSet="5Arrows">
        <cfvo type="percent" val="0"/>
        <cfvo type="num" val="0.99"/>
        <cfvo type="num" val="1"/>
        <cfvo type="num" val="1" gte="0"/>
        <cfvo type="num" val="1.01"/>
      </iconSet>
    </cfRule>
  </conditionalFormatting>
  <conditionalFormatting sqref="H302:H303">
    <cfRule type="iconSet" priority="222">
      <iconSet iconSet="3Symbols">
        <cfvo type="percent" val="0"/>
        <cfvo type="num" val="0.85"/>
        <cfvo type="num" val="0.995"/>
      </iconSet>
    </cfRule>
  </conditionalFormatting>
  <conditionalFormatting sqref="I300:I303 I305">
    <cfRule type="iconSet" priority="221">
      <iconSet iconSet="5Arrows">
        <cfvo type="percent" val="0"/>
        <cfvo type="num" val="0.99"/>
        <cfvo type="num" val="1"/>
        <cfvo type="num" val="1" gte="0"/>
        <cfvo type="num" val="1.01"/>
      </iconSet>
    </cfRule>
  </conditionalFormatting>
  <conditionalFormatting sqref="H300:H303">
    <cfRule type="iconSet" priority="224">
      <iconSet iconSet="3Symbols">
        <cfvo type="percent" val="0"/>
        <cfvo type="num" val="0.85"/>
        <cfvo type="num" val="0.995"/>
      </iconSet>
    </cfRule>
  </conditionalFormatting>
  <conditionalFormatting sqref="I300:I303">
    <cfRule type="iconSet" priority="225">
      <iconSet iconSet="5Arrows">
        <cfvo type="percent" val="0"/>
        <cfvo type="num" val="0.99"/>
        <cfvo type="num" val="1"/>
        <cfvo type="num" val="1" gte="0"/>
        <cfvo type="num" val="1.01"/>
      </iconSet>
    </cfRule>
  </conditionalFormatting>
  <conditionalFormatting sqref="H300:H303">
    <cfRule type="iconSet" priority="226">
      <iconSet iconSet="3Symbols">
        <cfvo type="percent" val="0"/>
        <cfvo type="num" val="0.85"/>
        <cfvo type="num" val="0.995"/>
      </iconSet>
    </cfRule>
  </conditionalFormatting>
  <conditionalFormatting sqref="I317 I319">
    <cfRule type="iconSet" priority="212">
      <iconSet iconSet="5Arrows">
        <cfvo type="percent" val="0"/>
        <cfvo type="num" val="0.99"/>
        <cfvo type="num" val="1"/>
        <cfvo type="num" val="1" gte="0"/>
        <cfvo type="num" val="1.01"/>
      </iconSet>
    </cfRule>
  </conditionalFormatting>
  <conditionalFormatting sqref="H317 H319">
    <cfRule type="iconSet" priority="211">
      <iconSet iconSet="3Symbols">
        <cfvo type="percent" val="0"/>
        <cfvo type="num" val="0.85"/>
        <cfvo type="num" val="0.995"/>
      </iconSet>
    </cfRule>
  </conditionalFormatting>
  <conditionalFormatting sqref="H317">
    <cfRule type="iconSet" priority="213">
      <iconSet iconSet="3Symbols">
        <cfvo type="percent" val="0"/>
        <cfvo type="num" val="0.85"/>
        <cfvo type="num" val="0.995"/>
      </iconSet>
    </cfRule>
  </conditionalFormatting>
  <conditionalFormatting sqref="I317">
    <cfRule type="iconSet" priority="214">
      <iconSet iconSet="5Arrows">
        <cfvo type="percent" val="0"/>
        <cfvo type="num" val="0.99"/>
        <cfvo type="num" val="1"/>
        <cfvo type="num" val="1" gte="0"/>
        <cfvo type="num" val="1.01"/>
      </iconSet>
    </cfRule>
  </conditionalFormatting>
  <conditionalFormatting sqref="H321:H323">
    <cfRule type="iconSet" priority="209">
      <iconSet iconSet="3Symbols">
        <cfvo type="percent" val="0"/>
        <cfvo type="num" val="0.85"/>
        <cfvo type="num" val="0.995"/>
      </iconSet>
    </cfRule>
  </conditionalFormatting>
  <conditionalFormatting sqref="I321:I323">
    <cfRule type="iconSet" priority="210">
      <iconSet iconSet="5Arrows">
        <cfvo type="percent" val="0"/>
        <cfvo type="num" val="0.99"/>
        <cfvo type="num" val="1"/>
        <cfvo type="num" val="1" gte="0"/>
        <cfvo type="num" val="1.01"/>
      </iconSet>
    </cfRule>
  </conditionalFormatting>
  <conditionalFormatting sqref="H344:H348">
    <cfRule type="iconSet" priority="203">
      <iconSet iconSet="3Symbols">
        <cfvo type="percent" val="0"/>
        <cfvo type="num" val="0.85"/>
        <cfvo type="num" val="0.995"/>
      </iconSet>
    </cfRule>
  </conditionalFormatting>
  <conditionalFormatting sqref="I344:I348">
    <cfRule type="iconSet" priority="204">
      <iconSet iconSet="5Arrows">
        <cfvo type="percent" val="0"/>
        <cfvo type="num" val="0.99"/>
        <cfvo type="num" val="1"/>
        <cfvo type="num" val="1" gte="0"/>
        <cfvo type="num" val="1.01"/>
      </iconSet>
    </cfRule>
  </conditionalFormatting>
  <conditionalFormatting sqref="H351:I351">
    <cfRule type="iconSet" priority="201">
      <iconSet iconSet="3Symbols">
        <cfvo type="percent" val="0"/>
        <cfvo type="num" val="0.85"/>
        <cfvo type="num" val="0.995"/>
      </iconSet>
    </cfRule>
  </conditionalFormatting>
  <conditionalFormatting sqref="I351">
    <cfRule type="iconSet" priority="202">
      <iconSet iconSet="5Arrows">
        <cfvo type="percent" val="0"/>
        <cfvo type="num" val="0.99"/>
        <cfvo type="num" val="1"/>
        <cfvo type="num" val="1" gte="0"/>
        <cfvo type="num" val="1.01"/>
      </iconSet>
    </cfRule>
  </conditionalFormatting>
  <conditionalFormatting sqref="H353:H355">
    <cfRule type="iconSet" priority="199">
      <iconSet iconSet="3Symbols">
        <cfvo type="percent" val="0"/>
        <cfvo type="num" val="0.85"/>
        <cfvo type="num" val="0.995"/>
      </iconSet>
    </cfRule>
  </conditionalFormatting>
  <conditionalFormatting sqref="I353:I355">
    <cfRule type="iconSet" priority="200">
      <iconSet iconSet="5Arrows">
        <cfvo type="percent" val="0"/>
        <cfvo type="num" val="0.99"/>
        <cfvo type="num" val="1"/>
        <cfvo type="num" val="1" gte="0"/>
        <cfvo type="num" val="1.01"/>
      </iconSet>
    </cfRule>
  </conditionalFormatting>
  <conditionalFormatting sqref="H367:H371 H373">
    <cfRule type="iconSet" priority="194">
      <iconSet iconSet="3Symbols">
        <cfvo type="percent" val="0"/>
        <cfvo type="num" val="0.85"/>
        <cfvo type="num" val="0.995"/>
      </iconSet>
    </cfRule>
  </conditionalFormatting>
  <conditionalFormatting sqref="I367:I371 I373">
    <cfRule type="iconSet" priority="195">
      <iconSet iconSet="5Arrows">
        <cfvo type="percent" val="0"/>
        <cfvo type="num" val="0.99"/>
        <cfvo type="num" val="1"/>
        <cfvo type="num" val="1" gte="0"/>
        <cfvo type="num" val="1.01"/>
      </iconSet>
    </cfRule>
  </conditionalFormatting>
  <conditionalFormatting sqref="I382:I384">
    <cfRule type="iconSet" priority="189">
      <iconSet iconSet="5Arrows">
        <cfvo type="percent" val="0"/>
        <cfvo type="num" val="0.99"/>
        <cfvo type="num" val="1"/>
        <cfvo type="num" val="1" gte="0"/>
        <cfvo type="num" val="1.01"/>
      </iconSet>
    </cfRule>
  </conditionalFormatting>
  <conditionalFormatting sqref="I385">
    <cfRule type="iconSet" priority="188">
      <iconSet iconSet="3Symbols">
        <cfvo type="percent" val="0"/>
        <cfvo type="num" val="0.85"/>
        <cfvo type="num" val="0.995"/>
      </iconSet>
    </cfRule>
  </conditionalFormatting>
  <conditionalFormatting sqref="H382:H385">
    <cfRule type="iconSet" priority="187">
      <iconSet iconSet="3Symbols">
        <cfvo type="percent" val="0"/>
        <cfvo type="num" val="0.85"/>
        <cfvo type="num" val="0.995"/>
      </iconSet>
    </cfRule>
  </conditionalFormatting>
  <conditionalFormatting sqref="H397:H400">
    <cfRule type="iconSet" priority="183">
      <iconSet iconSet="3Symbols">
        <cfvo type="percent" val="0"/>
        <cfvo type="num" val="0.85"/>
        <cfvo type="num" val="0.995"/>
      </iconSet>
    </cfRule>
  </conditionalFormatting>
  <conditionalFormatting sqref="I397:I400">
    <cfRule type="iconSet" priority="184">
      <iconSet iconSet="5Arrows">
        <cfvo type="percent" val="0"/>
        <cfvo type="num" val="0.99"/>
        <cfvo type="num" val="1"/>
        <cfvo type="num" val="1" gte="0"/>
        <cfvo type="num" val="1.01"/>
      </iconSet>
    </cfRule>
  </conditionalFormatting>
  <conditionalFormatting sqref="H404">
    <cfRule type="iconSet" priority="181">
      <iconSet iconSet="3Symbols">
        <cfvo type="percent" val="0"/>
        <cfvo type="num" val="0.85"/>
        <cfvo type="num" val="0.995"/>
      </iconSet>
    </cfRule>
  </conditionalFormatting>
  <conditionalFormatting sqref="I404">
    <cfRule type="iconSet" priority="182">
      <iconSet iconSet="5Arrows">
        <cfvo type="percent" val="0"/>
        <cfvo type="num" val="0.99"/>
        <cfvo type="num" val="1"/>
        <cfvo type="num" val="1" gte="0"/>
        <cfvo type="num" val="1.01"/>
      </iconSet>
    </cfRule>
  </conditionalFormatting>
  <conditionalFormatting sqref="H402">
    <cfRule type="iconSet" priority="179">
      <iconSet iconSet="3Symbols">
        <cfvo type="percent" val="0"/>
        <cfvo type="num" val="0.85"/>
        <cfvo type="num" val="0.995"/>
      </iconSet>
    </cfRule>
  </conditionalFormatting>
  <conditionalFormatting sqref="I402:I403">
    <cfRule type="iconSet" priority="180">
      <iconSet iconSet="5Arrows">
        <cfvo type="percent" val="0"/>
        <cfvo type="num" val="0.99"/>
        <cfvo type="num" val="1"/>
        <cfvo type="num" val="1" gte="0"/>
        <cfvo type="num" val="1.01"/>
      </iconSet>
    </cfRule>
  </conditionalFormatting>
  <conditionalFormatting sqref="H403">
    <cfRule type="iconSet" priority="175">
      <iconSet iconSet="3Symbols">
        <cfvo type="percent" val="0"/>
        <cfvo type="num" val="0.85"/>
        <cfvo type="num" val="0.995"/>
      </iconSet>
    </cfRule>
  </conditionalFormatting>
  <conditionalFormatting sqref="H406:H408">
    <cfRule type="iconSet" priority="173">
      <iconSet iconSet="3Symbols">
        <cfvo type="percent" val="0"/>
        <cfvo type="num" val="0.85"/>
        <cfvo type="num" val="0.995"/>
      </iconSet>
    </cfRule>
  </conditionalFormatting>
  <conditionalFormatting sqref="I406:I408">
    <cfRule type="iconSet" priority="174">
      <iconSet iconSet="5Arrows">
        <cfvo type="percent" val="0"/>
        <cfvo type="num" val="0.99"/>
        <cfvo type="num" val="1"/>
        <cfvo type="num" val="1" gte="0"/>
        <cfvo type="num" val="1.01"/>
      </iconSet>
    </cfRule>
  </conditionalFormatting>
  <conditionalFormatting sqref="H410:H412">
    <cfRule type="iconSet" priority="171">
      <iconSet iconSet="3Symbols">
        <cfvo type="percent" val="0"/>
        <cfvo type="num" val="0.85"/>
        <cfvo type="num" val="0.995"/>
      </iconSet>
    </cfRule>
  </conditionalFormatting>
  <conditionalFormatting sqref="I410:I412">
    <cfRule type="iconSet" priority="172">
      <iconSet iconSet="5Arrows">
        <cfvo type="percent" val="0"/>
        <cfvo type="num" val="0.99"/>
        <cfvo type="num" val="1"/>
        <cfvo type="num" val="1" gte="0"/>
        <cfvo type="num" val="1.01"/>
      </iconSet>
    </cfRule>
  </conditionalFormatting>
  <conditionalFormatting sqref="H414:H418">
    <cfRule type="iconSet" priority="169">
      <iconSet iconSet="3Symbols">
        <cfvo type="percent" val="0"/>
        <cfvo type="num" val="0.85"/>
        <cfvo type="num" val="0.995"/>
      </iconSet>
    </cfRule>
  </conditionalFormatting>
  <conditionalFormatting sqref="I414:I418">
    <cfRule type="iconSet" priority="170">
      <iconSet iconSet="5Arrows">
        <cfvo type="percent" val="0"/>
        <cfvo type="num" val="0.99"/>
        <cfvo type="num" val="1"/>
        <cfvo type="num" val="1" gte="0"/>
        <cfvo type="num" val="1.01"/>
      </iconSet>
    </cfRule>
  </conditionalFormatting>
  <conditionalFormatting sqref="H420:H422">
    <cfRule type="iconSet" priority="167">
      <iconSet iconSet="3Symbols">
        <cfvo type="percent" val="0"/>
        <cfvo type="num" val="0.85"/>
        <cfvo type="num" val="0.995"/>
      </iconSet>
    </cfRule>
  </conditionalFormatting>
  <conditionalFormatting sqref="I420:I422">
    <cfRule type="iconSet" priority="168">
      <iconSet iconSet="5Arrows">
        <cfvo type="percent" val="0"/>
        <cfvo type="num" val="0.99"/>
        <cfvo type="num" val="1"/>
        <cfvo type="num" val="1" gte="0"/>
        <cfvo type="num" val="1.01"/>
      </iconSet>
    </cfRule>
  </conditionalFormatting>
  <conditionalFormatting sqref="H424:H427">
    <cfRule type="iconSet" priority="165">
      <iconSet iconSet="3Symbols">
        <cfvo type="percent" val="0"/>
        <cfvo type="num" val="0.85"/>
        <cfvo type="num" val="0.995"/>
      </iconSet>
    </cfRule>
  </conditionalFormatting>
  <conditionalFormatting sqref="I425:I427">
    <cfRule type="iconSet" priority="166">
      <iconSet iconSet="5Arrows">
        <cfvo type="percent" val="0"/>
        <cfvo type="num" val="0.99"/>
        <cfvo type="num" val="1"/>
        <cfvo type="num" val="1" gte="0"/>
        <cfvo type="num" val="1.01"/>
      </iconSet>
    </cfRule>
  </conditionalFormatting>
  <conditionalFormatting sqref="H433 H429">
    <cfRule type="iconSet" priority="163">
      <iconSet iconSet="3Symbols">
        <cfvo type="percent" val="0"/>
        <cfvo type="num" val="0.85"/>
        <cfvo type="num" val="0.995"/>
      </iconSet>
    </cfRule>
  </conditionalFormatting>
  <conditionalFormatting sqref="I433 I429">
    <cfRule type="iconSet" priority="164">
      <iconSet iconSet="5Arrows">
        <cfvo type="percent" val="0"/>
        <cfvo type="num" val="0.99"/>
        <cfvo type="num" val="1"/>
        <cfvo type="num" val="1" gte="0"/>
        <cfvo type="num" val="1.01"/>
      </iconSet>
    </cfRule>
  </conditionalFormatting>
  <conditionalFormatting sqref="H435:H438">
    <cfRule type="iconSet" priority="161">
      <iconSet iconSet="3Symbols">
        <cfvo type="percent" val="0"/>
        <cfvo type="num" val="0.85"/>
        <cfvo type="num" val="0.995"/>
      </iconSet>
    </cfRule>
  </conditionalFormatting>
  <conditionalFormatting sqref="I435:I438">
    <cfRule type="iconSet" priority="162">
      <iconSet iconSet="5Arrows">
        <cfvo type="percent" val="0"/>
        <cfvo type="num" val="0.99"/>
        <cfvo type="num" val="1"/>
        <cfvo type="num" val="1" gte="0"/>
        <cfvo type="num" val="1.01"/>
      </iconSet>
    </cfRule>
  </conditionalFormatting>
  <conditionalFormatting sqref="H440:H441">
    <cfRule type="iconSet" priority="159">
      <iconSet iconSet="3Symbols">
        <cfvo type="percent" val="0"/>
        <cfvo type="num" val="0.85"/>
        <cfvo type="num" val="0.995"/>
      </iconSet>
    </cfRule>
  </conditionalFormatting>
  <conditionalFormatting sqref="I440:I441">
    <cfRule type="iconSet" priority="160">
      <iconSet iconSet="5Arrows">
        <cfvo type="percent" val="0"/>
        <cfvo type="num" val="0.99"/>
        <cfvo type="num" val="1"/>
        <cfvo type="num" val="1" gte="0"/>
        <cfvo type="num" val="1.01"/>
      </iconSet>
    </cfRule>
  </conditionalFormatting>
  <conditionalFormatting sqref="H443:H446">
    <cfRule type="iconSet" priority="157">
      <iconSet iconSet="3Symbols">
        <cfvo type="percent" val="0"/>
        <cfvo type="num" val="0.85"/>
        <cfvo type="num" val="0.995"/>
      </iconSet>
    </cfRule>
  </conditionalFormatting>
  <conditionalFormatting sqref="I443:I446">
    <cfRule type="iconSet" priority="158">
      <iconSet iconSet="5Arrows">
        <cfvo type="percent" val="0"/>
        <cfvo type="num" val="0.99"/>
        <cfvo type="num" val="1"/>
        <cfvo type="num" val="1" gte="0"/>
        <cfvo type="num" val="1.01"/>
      </iconSet>
    </cfRule>
  </conditionalFormatting>
  <conditionalFormatting sqref="H455 H448:H453">
    <cfRule type="iconSet" priority="155">
      <iconSet iconSet="3Symbols">
        <cfvo type="percent" val="0"/>
        <cfvo type="num" val="0.85"/>
        <cfvo type="num" val="0.995"/>
      </iconSet>
    </cfRule>
  </conditionalFormatting>
  <conditionalFormatting sqref="I455 I448:I453">
    <cfRule type="iconSet" priority="156">
      <iconSet iconSet="5Arrows">
        <cfvo type="percent" val="0"/>
        <cfvo type="num" val="0.99"/>
        <cfvo type="num" val="1"/>
        <cfvo type="num" val="1" gte="0"/>
        <cfvo type="num" val="1.01"/>
      </iconSet>
    </cfRule>
  </conditionalFormatting>
  <conditionalFormatting sqref="H454">
    <cfRule type="iconSet" priority="153">
      <iconSet iconSet="3Symbols">
        <cfvo type="percent" val="0"/>
        <cfvo type="num" val="0.85"/>
        <cfvo type="num" val="0.995"/>
      </iconSet>
    </cfRule>
  </conditionalFormatting>
  <conditionalFormatting sqref="I454">
    <cfRule type="iconSet" priority="154">
      <iconSet iconSet="5Arrows">
        <cfvo type="percent" val="0"/>
        <cfvo type="num" val="0.99"/>
        <cfvo type="num" val="1"/>
        <cfvo type="num" val="1" gte="0"/>
        <cfvo type="num" val="1.01"/>
      </iconSet>
    </cfRule>
  </conditionalFormatting>
  <conditionalFormatting sqref="H457:H466">
    <cfRule type="iconSet" priority="151">
      <iconSet iconSet="3Symbols">
        <cfvo type="percent" val="0"/>
        <cfvo type="num" val="0.85"/>
        <cfvo type="num" val="0.995"/>
      </iconSet>
    </cfRule>
  </conditionalFormatting>
  <conditionalFormatting sqref="I457:I466">
    <cfRule type="iconSet" priority="152">
      <iconSet iconSet="5Arrows">
        <cfvo type="percent" val="0"/>
        <cfvo type="num" val="0.99"/>
        <cfvo type="num" val="1"/>
        <cfvo type="num" val="1" gte="0"/>
        <cfvo type="num" val="1.01"/>
      </iconSet>
    </cfRule>
  </conditionalFormatting>
  <conditionalFormatting sqref="H468:H474">
    <cfRule type="iconSet" priority="149">
      <iconSet iconSet="3Symbols">
        <cfvo type="percent" val="0"/>
        <cfvo type="num" val="0.85"/>
        <cfvo type="num" val="0.995"/>
      </iconSet>
    </cfRule>
  </conditionalFormatting>
  <conditionalFormatting sqref="I468:I474">
    <cfRule type="iconSet" priority="150">
      <iconSet iconSet="5Arrows">
        <cfvo type="percent" val="0"/>
        <cfvo type="num" val="0.99"/>
        <cfvo type="num" val="1"/>
        <cfvo type="num" val="1" gte="0"/>
        <cfvo type="num" val="1.01"/>
      </iconSet>
    </cfRule>
  </conditionalFormatting>
  <conditionalFormatting sqref="H476:H479 H485">
    <cfRule type="iconSet" priority="147">
      <iconSet iconSet="3Symbols">
        <cfvo type="percent" val="0"/>
        <cfvo type="num" val="0.85"/>
        <cfvo type="num" val="0.995"/>
      </iconSet>
    </cfRule>
  </conditionalFormatting>
  <conditionalFormatting sqref="I485 I476:I479">
    <cfRule type="iconSet" priority="148">
      <iconSet iconSet="5Arrows">
        <cfvo type="percent" val="0"/>
        <cfvo type="num" val="0.99"/>
        <cfvo type="num" val="1"/>
        <cfvo type="num" val="1" gte="0"/>
        <cfvo type="num" val="1.01"/>
      </iconSet>
    </cfRule>
  </conditionalFormatting>
  <conditionalFormatting sqref="H480">
    <cfRule type="iconSet" priority="145">
      <iconSet iconSet="3Symbols">
        <cfvo type="percent" val="0"/>
        <cfvo type="num" val="0.85"/>
        <cfvo type="num" val="0.995"/>
      </iconSet>
    </cfRule>
  </conditionalFormatting>
  <conditionalFormatting sqref="I480">
    <cfRule type="iconSet" priority="146">
      <iconSet iconSet="5Arrows">
        <cfvo type="percent" val="0"/>
        <cfvo type="num" val="0.99"/>
        <cfvo type="num" val="1"/>
        <cfvo type="num" val="1" gte="0"/>
        <cfvo type="num" val="1.01"/>
      </iconSet>
    </cfRule>
  </conditionalFormatting>
  <conditionalFormatting sqref="H481">
    <cfRule type="iconSet" priority="143">
      <iconSet iconSet="3Symbols">
        <cfvo type="percent" val="0"/>
        <cfvo type="num" val="0.85"/>
        <cfvo type="num" val="0.995"/>
      </iconSet>
    </cfRule>
  </conditionalFormatting>
  <conditionalFormatting sqref="I481">
    <cfRule type="iconSet" priority="144">
      <iconSet iconSet="5Arrows">
        <cfvo type="percent" val="0"/>
        <cfvo type="num" val="0.99"/>
        <cfvo type="num" val="1"/>
        <cfvo type="num" val="1" gte="0"/>
        <cfvo type="num" val="1.01"/>
      </iconSet>
    </cfRule>
  </conditionalFormatting>
  <conditionalFormatting sqref="H482">
    <cfRule type="iconSet" priority="141">
      <iconSet iconSet="3Symbols">
        <cfvo type="percent" val="0"/>
        <cfvo type="num" val="0.85"/>
        <cfvo type="num" val="0.995"/>
      </iconSet>
    </cfRule>
  </conditionalFormatting>
  <conditionalFormatting sqref="I482">
    <cfRule type="iconSet" priority="142">
      <iconSet iconSet="5Arrows">
        <cfvo type="percent" val="0"/>
        <cfvo type="num" val="0.99"/>
        <cfvo type="num" val="1"/>
        <cfvo type="num" val="1" gte="0"/>
        <cfvo type="num" val="1.01"/>
      </iconSet>
    </cfRule>
  </conditionalFormatting>
  <conditionalFormatting sqref="H483">
    <cfRule type="iconSet" priority="139">
      <iconSet iconSet="3Symbols">
        <cfvo type="percent" val="0"/>
        <cfvo type="num" val="0.85"/>
        <cfvo type="num" val="0.995"/>
      </iconSet>
    </cfRule>
  </conditionalFormatting>
  <conditionalFormatting sqref="I483">
    <cfRule type="iconSet" priority="140">
      <iconSet iconSet="5Arrows">
        <cfvo type="percent" val="0"/>
        <cfvo type="num" val="0.99"/>
        <cfvo type="num" val="1"/>
        <cfvo type="num" val="1" gte="0"/>
        <cfvo type="num" val="1.01"/>
      </iconSet>
    </cfRule>
  </conditionalFormatting>
  <conditionalFormatting sqref="H487:H490">
    <cfRule type="iconSet" priority="137">
      <iconSet iconSet="3Symbols">
        <cfvo type="percent" val="0"/>
        <cfvo type="num" val="0.85"/>
        <cfvo type="num" val="0.995"/>
      </iconSet>
    </cfRule>
  </conditionalFormatting>
  <conditionalFormatting sqref="I487:I490">
    <cfRule type="iconSet" priority="138">
      <iconSet iconSet="5Arrows">
        <cfvo type="percent" val="0"/>
        <cfvo type="num" val="0.99"/>
        <cfvo type="num" val="1"/>
        <cfvo type="num" val="1" gte="0"/>
        <cfvo type="num" val="1.01"/>
      </iconSet>
    </cfRule>
  </conditionalFormatting>
  <conditionalFormatting sqref="H320:I320">
    <cfRule type="iconSet" priority="133">
      <iconSet iconSet="3Symbols">
        <cfvo type="percent" val="0"/>
        <cfvo type="num" val="0.85"/>
        <cfvo type="num" val="0.995"/>
      </iconSet>
    </cfRule>
  </conditionalFormatting>
  <conditionalFormatting sqref="I320">
    <cfRule type="iconSet" priority="134">
      <iconSet iconSet="5Arrows">
        <cfvo type="percent" val="0"/>
        <cfvo type="num" val="0.99"/>
        <cfvo type="num" val="1"/>
        <cfvo type="num" val="1" gte="0"/>
        <cfvo type="num" val="1.01"/>
      </iconSet>
    </cfRule>
  </conditionalFormatting>
  <conditionalFormatting sqref="I352">
    <cfRule type="iconSet" priority="131">
      <iconSet iconSet="5Arrows">
        <cfvo type="percent" val="0"/>
        <cfvo type="num" val="0.99"/>
        <cfvo type="num" val="1"/>
        <cfvo type="num" val="1" gte="0"/>
        <cfvo type="num" val="1.01"/>
      </iconSet>
    </cfRule>
  </conditionalFormatting>
  <conditionalFormatting sqref="I352">
    <cfRule type="iconSet" priority="132">
      <iconSet iconSet="3Symbols">
        <cfvo type="percent" val="0"/>
        <cfvo type="num" val="0.85"/>
        <cfvo type="num" val="0.995"/>
      </iconSet>
    </cfRule>
  </conditionalFormatting>
  <conditionalFormatting sqref="H325:H329">
    <cfRule type="iconSet" priority="3299">
      <iconSet iconSet="3Symbols">
        <cfvo type="percent" val="0"/>
        <cfvo type="num" val="0.85"/>
        <cfvo type="num" val="0.995"/>
      </iconSet>
    </cfRule>
  </conditionalFormatting>
  <conditionalFormatting sqref="I325:I329">
    <cfRule type="iconSet" priority="3300">
      <iconSet iconSet="5Arrows">
        <cfvo type="percent" val="0"/>
        <cfvo type="num" val="0.99"/>
        <cfvo type="num" val="1"/>
        <cfvo type="num" val="1" gte="0"/>
        <cfvo type="num" val="1.01"/>
      </iconSet>
    </cfRule>
  </conditionalFormatting>
  <conditionalFormatting sqref="H331:H339">
    <cfRule type="iconSet" priority="3428">
      <iconSet iconSet="3Symbols">
        <cfvo type="percent" val="0"/>
        <cfvo type="num" val="0.85"/>
        <cfvo type="num" val="0.995"/>
      </iconSet>
    </cfRule>
  </conditionalFormatting>
  <conditionalFormatting sqref="I331:I339">
    <cfRule type="iconSet" priority="3430">
      <iconSet iconSet="5Arrows">
        <cfvo type="percent" val="0"/>
        <cfvo type="num" val="0.99"/>
        <cfvo type="num" val="1"/>
        <cfvo type="num" val="1" gte="0"/>
        <cfvo type="num" val="1.01"/>
      </iconSet>
    </cfRule>
  </conditionalFormatting>
  <conditionalFormatting sqref="H341:H343">
    <cfRule type="iconSet" priority="126">
      <iconSet iconSet="3Symbols">
        <cfvo type="percent" val="0"/>
        <cfvo type="num" val="0.85"/>
        <cfvo type="num" val="0.995"/>
      </iconSet>
    </cfRule>
  </conditionalFormatting>
  <conditionalFormatting sqref="I341:I343">
    <cfRule type="iconSet" priority="127">
      <iconSet iconSet="5Arrows">
        <cfvo type="percent" val="0"/>
        <cfvo type="num" val="0.99"/>
        <cfvo type="num" val="1"/>
        <cfvo type="num" val="1" gte="0"/>
        <cfvo type="num" val="1.01"/>
      </iconSet>
    </cfRule>
  </conditionalFormatting>
  <conditionalFormatting sqref="H350:I350">
    <cfRule type="iconSet" priority="124">
      <iconSet iconSet="3Symbols">
        <cfvo type="percent" val="0"/>
        <cfvo type="num" val="0.85"/>
        <cfvo type="num" val="0.995"/>
      </iconSet>
    </cfRule>
  </conditionalFormatting>
  <conditionalFormatting sqref="I350">
    <cfRule type="iconSet" priority="125">
      <iconSet iconSet="5Arrows">
        <cfvo type="percent" val="0"/>
        <cfvo type="num" val="0.99"/>
        <cfvo type="num" val="1"/>
        <cfvo type="num" val="1" gte="0"/>
        <cfvo type="num" val="1.01"/>
      </iconSet>
    </cfRule>
  </conditionalFormatting>
  <conditionalFormatting sqref="H387:H395">
    <cfRule type="iconSet" priority="3558">
      <iconSet iconSet="3Symbols">
        <cfvo type="percent" val="0"/>
        <cfvo type="num" val="0.85"/>
        <cfvo type="num" val="0.995"/>
      </iconSet>
    </cfRule>
  </conditionalFormatting>
  <conditionalFormatting sqref="I387:I395">
    <cfRule type="iconSet" priority="3559">
      <iconSet iconSet="5Arrows">
        <cfvo type="percent" val="0"/>
        <cfvo type="num" val="0.99"/>
        <cfvo type="num" val="1"/>
        <cfvo type="num" val="1" gte="0"/>
        <cfvo type="num" val="1.01"/>
      </iconSet>
    </cfRule>
  </conditionalFormatting>
  <conditionalFormatting sqref="H194">
    <cfRule type="iconSet" priority="122">
      <iconSet iconSet="3Symbols">
        <cfvo type="percent" val="0"/>
        <cfvo type="num" val="0.85"/>
        <cfvo type="num" val="0.995"/>
      </iconSet>
    </cfRule>
  </conditionalFormatting>
  <conditionalFormatting sqref="I194">
    <cfRule type="iconSet" priority="123">
      <iconSet iconSet="5Arrows">
        <cfvo type="percent" val="0"/>
        <cfvo type="num" val="0.99"/>
        <cfvo type="num" val="1"/>
        <cfvo type="num" val="1" gte="0"/>
        <cfvo type="num" val="1.01"/>
      </iconSet>
    </cfRule>
  </conditionalFormatting>
  <conditionalFormatting sqref="H201:H208">
    <cfRule type="iconSet" priority="3560">
      <iconSet iconSet="3Symbols">
        <cfvo type="percent" val="0"/>
        <cfvo type="num" val="0.85"/>
        <cfvo type="num" val="0.995"/>
      </iconSet>
    </cfRule>
  </conditionalFormatting>
  <conditionalFormatting sqref="I201:I208">
    <cfRule type="iconSet" priority="3561">
      <iconSet iconSet="5Arrows">
        <cfvo type="percent" val="0"/>
        <cfvo type="num" val="0.99"/>
        <cfvo type="num" val="1"/>
        <cfvo type="num" val="1" gte="0"/>
        <cfvo type="num" val="1.01"/>
      </iconSet>
    </cfRule>
  </conditionalFormatting>
  <conditionalFormatting sqref="I424">
    <cfRule type="iconSet" priority="121">
      <iconSet iconSet="5Arrows">
        <cfvo type="percent" val="0"/>
        <cfvo type="num" val="0.99"/>
        <cfvo type="num" val="1"/>
        <cfvo type="num" val="1" gte="0"/>
        <cfvo type="num" val="1.01"/>
      </iconSet>
    </cfRule>
  </conditionalFormatting>
  <conditionalFormatting sqref="H432">
    <cfRule type="iconSet" priority="119">
      <iconSet iconSet="3Symbols">
        <cfvo type="percent" val="0"/>
        <cfvo type="num" val="0.85"/>
        <cfvo type="num" val="0.995"/>
      </iconSet>
    </cfRule>
  </conditionalFormatting>
  <conditionalFormatting sqref="I432">
    <cfRule type="iconSet" priority="120">
      <iconSet iconSet="5Arrows">
        <cfvo type="percent" val="0"/>
        <cfvo type="num" val="0.99"/>
        <cfvo type="num" val="1"/>
        <cfvo type="num" val="1" gte="0"/>
        <cfvo type="num" val="1.01"/>
      </iconSet>
    </cfRule>
  </conditionalFormatting>
  <conditionalFormatting sqref="H430:H431">
    <cfRule type="iconSet" priority="117">
      <iconSet iconSet="3Symbols">
        <cfvo type="percent" val="0"/>
        <cfvo type="num" val="0.85"/>
        <cfvo type="num" val="0.995"/>
      </iconSet>
    </cfRule>
  </conditionalFormatting>
  <conditionalFormatting sqref="I430:I431">
    <cfRule type="iconSet" priority="118">
      <iconSet iconSet="5Arrows">
        <cfvo type="percent" val="0"/>
        <cfvo type="num" val="0.99"/>
        <cfvo type="num" val="1"/>
        <cfvo type="num" val="1" gte="0"/>
        <cfvo type="num" val="1.01"/>
      </iconSet>
    </cfRule>
  </conditionalFormatting>
  <conditionalFormatting sqref="I275:I277">
    <cfRule type="iconSet" priority="116">
      <iconSet iconSet="5Arrows">
        <cfvo type="percent" val="0"/>
        <cfvo type="num" val="0.99"/>
        <cfvo type="num" val="1"/>
        <cfvo type="num" val="1" gte="0"/>
        <cfvo type="num" val="1.01"/>
      </iconSet>
    </cfRule>
  </conditionalFormatting>
  <conditionalFormatting sqref="H484">
    <cfRule type="iconSet" priority="114">
      <iconSet iconSet="3Symbols">
        <cfvo type="percent" val="0"/>
        <cfvo type="num" val="0.85"/>
        <cfvo type="num" val="0.995"/>
      </iconSet>
    </cfRule>
  </conditionalFormatting>
  <conditionalFormatting sqref="I484">
    <cfRule type="iconSet" priority="115">
      <iconSet iconSet="5Arrows">
        <cfvo type="percent" val="0"/>
        <cfvo type="num" val="0.99"/>
        <cfvo type="num" val="1"/>
        <cfvo type="num" val="1" gte="0"/>
        <cfvo type="num" val="1.01"/>
      </iconSet>
    </cfRule>
  </conditionalFormatting>
  <conditionalFormatting sqref="H492:H493">
    <cfRule type="iconSet" priority="112">
      <iconSet iconSet="3Symbols">
        <cfvo type="percent" val="0"/>
        <cfvo type="num" val="0.85"/>
        <cfvo type="num" val="0.995"/>
      </iconSet>
    </cfRule>
  </conditionalFormatting>
  <conditionalFormatting sqref="I492:I493">
    <cfRule type="iconSet" priority="113">
      <iconSet iconSet="5Arrows">
        <cfvo type="percent" val="0"/>
        <cfvo type="num" val="0.99"/>
        <cfvo type="num" val="1"/>
        <cfvo type="num" val="1" gte="0"/>
        <cfvo type="num" val="1.01"/>
      </iconSet>
    </cfRule>
  </conditionalFormatting>
  <conditionalFormatting sqref="H117">
    <cfRule type="iconSet" priority="110">
      <iconSet iconSet="3Symbols">
        <cfvo type="percent" val="0"/>
        <cfvo type="num" val="0.85"/>
        <cfvo type="num" val="0.995"/>
      </iconSet>
    </cfRule>
  </conditionalFormatting>
  <conditionalFormatting sqref="I117">
    <cfRule type="iconSet" priority="111">
      <iconSet iconSet="5Arrows">
        <cfvo type="percent" val="0"/>
        <cfvo type="num" val="0.99"/>
        <cfvo type="num" val="1"/>
        <cfvo type="num" val="1" gte="0"/>
        <cfvo type="num" val="1.01"/>
      </iconSet>
    </cfRule>
  </conditionalFormatting>
  <conditionalFormatting sqref="H136">
    <cfRule type="iconSet" priority="108">
      <iconSet iconSet="3Symbols">
        <cfvo type="percent" val="0"/>
        <cfvo type="num" val="0.85"/>
        <cfvo type="num" val="0.995"/>
      </iconSet>
    </cfRule>
  </conditionalFormatting>
  <conditionalFormatting sqref="I136">
    <cfRule type="iconSet" priority="109">
      <iconSet iconSet="5Arrows">
        <cfvo type="percent" val="0"/>
        <cfvo type="num" val="0.99"/>
        <cfvo type="num" val="1"/>
        <cfvo type="num" val="1" gte="0"/>
        <cfvo type="num" val="1.01"/>
      </iconSet>
    </cfRule>
  </conditionalFormatting>
  <conditionalFormatting sqref="H160">
    <cfRule type="iconSet" priority="106">
      <iconSet iconSet="3Symbols">
        <cfvo type="percent" val="0"/>
        <cfvo type="num" val="0.85"/>
        <cfvo type="num" val="0.995"/>
      </iconSet>
    </cfRule>
  </conditionalFormatting>
  <conditionalFormatting sqref="I160">
    <cfRule type="iconSet" priority="107">
      <iconSet iconSet="5Arrows">
        <cfvo type="percent" val="0"/>
        <cfvo type="num" val="0.99"/>
        <cfvo type="num" val="1"/>
        <cfvo type="num" val="1" gte="0"/>
        <cfvo type="num" val="1.01"/>
      </iconSet>
    </cfRule>
  </conditionalFormatting>
  <conditionalFormatting sqref="H161">
    <cfRule type="iconSet" priority="104">
      <iconSet iconSet="3Symbols">
        <cfvo type="percent" val="0"/>
        <cfvo type="num" val="0.85"/>
        <cfvo type="num" val="0.995"/>
      </iconSet>
    </cfRule>
  </conditionalFormatting>
  <conditionalFormatting sqref="I161">
    <cfRule type="iconSet" priority="105">
      <iconSet iconSet="5Arrows">
        <cfvo type="percent" val="0"/>
        <cfvo type="num" val="0.99"/>
        <cfvo type="num" val="1"/>
        <cfvo type="num" val="1" gte="0"/>
        <cfvo type="num" val="1.01"/>
      </iconSet>
    </cfRule>
  </conditionalFormatting>
  <conditionalFormatting sqref="H162">
    <cfRule type="iconSet" priority="102">
      <iconSet iconSet="3Symbols">
        <cfvo type="percent" val="0"/>
        <cfvo type="num" val="0.85"/>
        <cfvo type="num" val="0.995"/>
      </iconSet>
    </cfRule>
  </conditionalFormatting>
  <conditionalFormatting sqref="I162">
    <cfRule type="iconSet" priority="103">
      <iconSet iconSet="5Arrows">
        <cfvo type="percent" val="0"/>
        <cfvo type="num" val="0.99"/>
        <cfvo type="num" val="1"/>
        <cfvo type="num" val="1" gte="0"/>
        <cfvo type="num" val="1.01"/>
      </iconSet>
    </cfRule>
  </conditionalFormatting>
  <conditionalFormatting sqref="H163">
    <cfRule type="iconSet" priority="100">
      <iconSet iconSet="3Symbols">
        <cfvo type="percent" val="0"/>
        <cfvo type="num" val="0.85"/>
        <cfvo type="num" val="0.995"/>
      </iconSet>
    </cfRule>
  </conditionalFormatting>
  <conditionalFormatting sqref="I163">
    <cfRule type="iconSet" priority="101">
      <iconSet iconSet="5Arrows">
        <cfvo type="percent" val="0"/>
        <cfvo type="num" val="0.99"/>
        <cfvo type="num" val="1"/>
        <cfvo type="num" val="1" gte="0"/>
        <cfvo type="num" val="1.01"/>
      </iconSet>
    </cfRule>
  </conditionalFormatting>
  <conditionalFormatting sqref="H164">
    <cfRule type="iconSet" priority="98">
      <iconSet iconSet="3Symbols">
        <cfvo type="percent" val="0"/>
        <cfvo type="num" val="0.85"/>
        <cfvo type="num" val="0.995"/>
      </iconSet>
    </cfRule>
  </conditionalFormatting>
  <conditionalFormatting sqref="I164">
    <cfRule type="iconSet" priority="99">
      <iconSet iconSet="5Arrows">
        <cfvo type="percent" val="0"/>
        <cfvo type="num" val="0.99"/>
        <cfvo type="num" val="1"/>
        <cfvo type="num" val="1" gte="0"/>
        <cfvo type="num" val="1.01"/>
      </iconSet>
    </cfRule>
  </conditionalFormatting>
  <conditionalFormatting sqref="H167:H171">
    <cfRule type="iconSet" priority="3688">
      <iconSet iconSet="3Symbols">
        <cfvo type="percent" val="0"/>
        <cfvo type="num" val="0.85"/>
        <cfvo type="num" val="0.995"/>
      </iconSet>
    </cfRule>
  </conditionalFormatting>
  <conditionalFormatting sqref="I167:I171">
    <cfRule type="iconSet" priority="3689">
      <iconSet iconSet="5Arrows">
        <cfvo type="percent" val="0"/>
        <cfvo type="num" val="0.99"/>
        <cfvo type="num" val="1"/>
        <cfvo type="num" val="1" gte="0"/>
        <cfvo type="num" val="1.01"/>
      </iconSet>
    </cfRule>
  </conditionalFormatting>
  <conditionalFormatting sqref="H177:H183">
    <cfRule type="iconSet" priority="3816">
      <iconSet iconSet="3Symbols">
        <cfvo type="percent" val="0"/>
        <cfvo type="num" val="0.85"/>
        <cfvo type="num" val="0.995"/>
      </iconSet>
    </cfRule>
  </conditionalFormatting>
  <conditionalFormatting sqref="I177:I183">
    <cfRule type="iconSet" priority="3818">
      <iconSet iconSet="5Arrows">
        <cfvo type="percent" val="0"/>
        <cfvo type="num" val="0.99"/>
        <cfvo type="num" val="1"/>
        <cfvo type="num" val="1" gte="0"/>
        <cfvo type="num" val="1.01"/>
      </iconSet>
    </cfRule>
  </conditionalFormatting>
  <conditionalFormatting sqref="H357:H365">
    <cfRule type="iconSet" priority="3945">
      <iconSet iconSet="3Symbols">
        <cfvo type="percent" val="0"/>
        <cfvo type="num" val="0.85"/>
        <cfvo type="num" val="0.995"/>
      </iconSet>
    </cfRule>
  </conditionalFormatting>
  <conditionalFormatting sqref="I357:I365">
    <cfRule type="iconSet" priority="3946">
      <iconSet iconSet="5Arrows">
        <cfvo type="percent" val="0"/>
        <cfvo type="num" val="0.99"/>
        <cfvo type="num" val="1"/>
        <cfvo type="num" val="1" gte="0"/>
        <cfvo type="num" val="1.01"/>
      </iconSet>
    </cfRule>
  </conditionalFormatting>
  <conditionalFormatting sqref="H372">
    <cfRule type="iconSet" priority="96">
      <iconSet iconSet="3Symbols">
        <cfvo type="percent" val="0"/>
        <cfvo type="num" val="0.85"/>
        <cfvo type="num" val="0.995"/>
      </iconSet>
    </cfRule>
  </conditionalFormatting>
  <conditionalFormatting sqref="I372">
    <cfRule type="iconSet" priority="97">
      <iconSet iconSet="5Arrows">
        <cfvo type="percent" val="0"/>
        <cfvo type="num" val="0.99"/>
        <cfvo type="num" val="1"/>
        <cfvo type="num" val="1" gte="0"/>
        <cfvo type="num" val="1.01"/>
      </iconSet>
    </cfRule>
  </conditionalFormatting>
  <conditionalFormatting sqref="H375:H376 H378">
    <cfRule type="iconSet" priority="4073">
      <iconSet iconSet="3Symbols">
        <cfvo type="percent" val="0"/>
        <cfvo type="num" val="0.85"/>
        <cfvo type="num" val="0.995"/>
      </iconSet>
    </cfRule>
  </conditionalFormatting>
  <conditionalFormatting sqref="I375:I376">
    <cfRule type="iconSet" priority="4074">
      <iconSet iconSet="5Arrows">
        <cfvo type="percent" val="0"/>
        <cfvo type="num" val="0.99"/>
        <cfvo type="num" val="1"/>
        <cfvo type="num" val="1" gte="0"/>
        <cfvo type="num" val="1.01"/>
      </iconSet>
    </cfRule>
  </conditionalFormatting>
  <conditionalFormatting sqref="H377">
    <cfRule type="iconSet" priority="94">
      <iconSet iconSet="3Symbols">
        <cfvo type="percent" val="0"/>
        <cfvo type="num" val="0.85"/>
        <cfvo type="num" val="0.995"/>
      </iconSet>
    </cfRule>
  </conditionalFormatting>
  <conditionalFormatting sqref="I377:I378">
    <cfRule type="iconSet" priority="95">
      <iconSet iconSet="5Arrows">
        <cfvo type="percent" val="0"/>
        <cfvo type="num" val="0.99"/>
        <cfvo type="num" val="1"/>
        <cfvo type="num" val="1" gte="0"/>
        <cfvo type="num" val="1.01"/>
      </iconSet>
    </cfRule>
  </conditionalFormatting>
  <conditionalFormatting sqref="H379">
    <cfRule type="iconSet" priority="92">
      <iconSet iconSet="3Symbols">
        <cfvo type="percent" val="0"/>
        <cfvo type="num" val="0.85"/>
        <cfvo type="num" val="0.995"/>
      </iconSet>
    </cfRule>
  </conditionalFormatting>
  <conditionalFormatting sqref="I379">
    <cfRule type="iconSet" priority="93">
      <iconSet iconSet="5Arrows">
        <cfvo type="percent" val="0"/>
        <cfvo type="num" val="0.99"/>
        <cfvo type="num" val="1"/>
        <cfvo type="num" val="1" gte="0"/>
        <cfvo type="num" val="1.01"/>
      </iconSet>
    </cfRule>
  </conditionalFormatting>
  <conditionalFormatting sqref="H380">
    <cfRule type="iconSet" priority="90">
      <iconSet iconSet="3Symbols">
        <cfvo type="percent" val="0"/>
        <cfvo type="num" val="0.85"/>
        <cfvo type="num" val="0.995"/>
      </iconSet>
    </cfRule>
  </conditionalFormatting>
  <conditionalFormatting sqref="I380">
    <cfRule type="iconSet" priority="91">
      <iconSet iconSet="5Arrows">
        <cfvo type="percent" val="0"/>
        <cfvo type="num" val="0.99"/>
        <cfvo type="num" val="1"/>
        <cfvo type="num" val="1" gte="0"/>
        <cfvo type="num" val="1.01"/>
      </iconSet>
    </cfRule>
  </conditionalFormatting>
  <conditionalFormatting sqref="I293:I298">
    <cfRule type="iconSet" priority="4201">
      <iconSet iconSet="5Arrows">
        <cfvo type="percent" val="0"/>
        <cfvo type="num" val="0.99"/>
        <cfvo type="num" val="1"/>
        <cfvo type="num" val="1" gte="0"/>
        <cfvo type="num" val="1.01"/>
      </iconSet>
    </cfRule>
  </conditionalFormatting>
  <conditionalFormatting sqref="H293:H298">
    <cfRule type="iconSet" priority="4202">
      <iconSet iconSet="3Symbols">
        <cfvo type="percent" val="0"/>
        <cfvo type="num" val="0.85"/>
        <cfvo type="num" val="0.995"/>
      </iconSet>
    </cfRule>
  </conditionalFormatting>
  <conditionalFormatting sqref="I304">
    <cfRule type="iconSet" priority="86">
      <iconSet iconSet="5Arrows">
        <cfvo type="percent" val="0"/>
        <cfvo type="num" val="0.99"/>
        <cfvo type="num" val="1"/>
        <cfvo type="num" val="1" gte="0"/>
        <cfvo type="num" val="1.01"/>
      </iconSet>
    </cfRule>
  </conditionalFormatting>
  <conditionalFormatting sqref="H304:H305">
    <cfRule type="iconSet" priority="85">
      <iconSet iconSet="3Symbols">
        <cfvo type="percent" val="0"/>
        <cfvo type="num" val="0.85"/>
        <cfvo type="num" val="0.995"/>
      </iconSet>
    </cfRule>
  </conditionalFormatting>
  <conditionalFormatting sqref="I304">
    <cfRule type="iconSet" priority="84">
      <iconSet iconSet="5Arrows">
        <cfvo type="percent" val="0"/>
        <cfvo type="num" val="0.99"/>
        <cfvo type="num" val="1"/>
        <cfvo type="num" val="1" gte="0"/>
        <cfvo type="num" val="1.01"/>
      </iconSet>
    </cfRule>
  </conditionalFormatting>
  <conditionalFormatting sqref="H304:H305">
    <cfRule type="iconSet" priority="87">
      <iconSet iconSet="3Symbols">
        <cfvo type="percent" val="0"/>
        <cfvo type="num" val="0.85"/>
        <cfvo type="num" val="0.995"/>
      </iconSet>
    </cfRule>
  </conditionalFormatting>
  <conditionalFormatting sqref="I304">
    <cfRule type="iconSet" priority="88">
      <iconSet iconSet="5Arrows">
        <cfvo type="percent" val="0"/>
        <cfvo type="num" val="0.99"/>
        <cfvo type="num" val="1"/>
        <cfvo type="num" val="1" gte="0"/>
        <cfvo type="num" val="1.01"/>
      </iconSet>
    </cfRule>
  </conditionalFormatting>
  <conditionalFormatting sqref="H304:H305">
    <cfRule type="iconSet" priority="89">
      <iconSet iconSet="3Symbols">
        <cfvo type="percent" val="0"/>
        <cfvo type="num" val="0.85"/>
        <cfvo type="num" val="0.995"/>
      </iconSet>
    </cfRule>
  </conditionalFormatting>
  <conditionalFormatting sqref="I307:I315">
    <cfRule type="iconSet" priority="68">
      <iconSet iconSet="5Arrows">
        <cfvo type="percent" val="0"/>
        <cfvo type="num" val="0.99"/>
        <cfvo type="num" val="1"/>
        <cfvo type="num" val="1" gte="0"/>
        <cfvo type="num" val="1.01"/>
      </iconSet>
    </cfRule>
  </conditionalFormatting>
  <conditionalFormatting sqref="H307:H315">
    <cfRule type="iconSet" priority="67">
      <iconSet iconSet="3Symbols">
        <cfvo type="percent" val="0"/>
        <cfvo type="num" val="0.85"/>
        <cfvo type="num" val="0.995"/>
      </iconSet>
    </cfRule>
  </conditionalFormatting>
  <conditionalFormatting sqref="I307:I315">
    <cfRule type="iconSet" priority="66">
      <iconSet iconSet="5Arrows">
        <cfvo type="percent" val="0"/>
        <cfvo type="num" val="0.99"/>
        <cfvo type="num" val="1"/>
        <cfvo type="num" val="1" gte="0"/>
        <cfvo type="num" val="1.01"/>
      </iconSet>
    </cfRule>
  </conditionalFormatting>
  <conditionalFormatting sqref="H307:H315">
    <cfRule type="iconSet" priority="69">
      <iconSet iconSet="3Symbols">
        <cfvo type="percent" val="0"/>
        <cfvo type="num" val="0.85"/>
        <cfvo type="num" val="0.995"/>
      </iconSet>
    </cfRule>
  </conditionalFormatting>
  <conditionalFormatting sqref="I307:I315">
    <cfRule type="iconSet" priority="70">
      <iconSet iconSet="5Arrows">
        <cfvo type="percent" val="0"/>
        <cfvo type="num" val="0.99"/>
        <cfvo type="num" val="1"/>
        <cfvo type="num" val="1" gte="0"/>
        <cfvo type="num" val="1.01"/>
      </iconSet>
    </cfRule>
  </conditionalFormatting>
  <conditionalFormatting sqref="H307:H315">
    <cfRule type="iconSet" priority="71">
      <iconSet iconSet="3Symbols">
        <cfvo type="percent" val="0"/>
        <cfvo type="num" val="0.85"/>
        <cfvo type="num" val="0.995"/>
      </iconSet>
    </cfRule>
  </conditionalFormatting>
  <conditionalFormatting sqref="I318">
    <cfRule type="iconSet" priority="63">
      <iconSet iconSet="5Arrows">
        <cfvo type="percent" val="0"/>
        <cfvo type="num" val="0.99"/>
        <cfvo type="num" val="1"/>
        <cfvo type="num" val="1" gte="0"/>
        <cfvo type="num" val="1.01"/>
      </iconSet>
    </cfRule>
  </conditionalFormatting>
  <conditionalFormatting sqref="H318">
    <cfRule type="iconSet" priority="62">
      <iconSet iconSet="3Symbols">
        <cfvo type="percent" val="0"/>
        <cfvo type="num" val="0.85"/>
        <cfvo type="num" val="0.995"/>
      </iconSet>
    </cfRule>
  </conditionalFormatting>
  <conditionalFormatting sqref="H318">
    <cfRule type="iconSet" priority="64">
      <iconSet iconSet="3Symbols">
        <cfvo type="percent" val="0"/>
        <cfvo type="num" val="0.85"/>
        <cfvo type="num" val="0.995"/>
      </iconSet>
    </cfRule>
  </conditionalFormatting>
  <conditionalFormatting sqref="I318">
    <cfRule type="iconSet" priority="65">
      <iconSet iconSet="5Arrows">
        <cfvo type="percent" val="0"/>
        <cfvo type="num" val="0.99"/>
        <cfvo type="num" val="1"/>
        <cfvo type="num" val="1" gte="0"/>
        <cfvo type="num" val="1.01"/>
      </iconSet>
    </cfRule>
  </conditionalFormatting>
  <conditionalFormatting sqref="H17:H24">
    <cfRule type="iconSet" priority="4329">
      <iconSet iconSet="3Symbols">
        <cfvo type="percent" val="0"/>
        <cfvo type="num" val="0.85"/>
        <cfvo type="num" val="0.995"/>
      </iconSet>
    </cfRule>
  </conditionalFormatting>
  <conditionalFormatting sqref="I17:I24">
    <cfRule type="iconSet" priority="4331">
      <iconSet iconSet="5Arrows">
        <cfvo type="percent" val="0"/>
        <cfvo type="num" val="0.99"/>
        <cfvo type="num" val="1"/>
        <cfvo type="num" val="1" gte="0"/>
        <cfvo type="num" val="1.01"/>
      </iconSet>
    </cfRule>
  </conditionalFormatting>
  <conditionalFormatting sqref="H46:H48">
    <cfRule type="iconSet" priority="61">
      <iconSet iconSet="3Symbols">
        <cfvo type="percent" val="0"/>
        <cfvo type="num" val="0.85"/>
        <cfvo type="num" val="0.995"/>
      </iconSet>
    </cfRule>
  </conditionalFormatting>
  <conditionalFormatting sqref="H70">
    <cfRule type="iconSet" priority="59">
      <iconSet iconSet="3Symbols">
        <cfvo type="percent" val="0"/>
        <cfvo type="num" val="0.85"/>
        <cfvo type="num" val="0.995"/>
      </iconSet>
    </cfRule>
  </conditionalFormatting>
  <conditionalFormatting sqref="I70">
    <cfRule type="iconSet" priority="60">
      <iconSet iconSet="5Arrows">
        <cfvo type="percent" val="0"/>
        <cfvo type="num" val="0.99"/>
        <cfvo type="num" val="1"/>
        <cfvo type="num" val="1" gte="0"/>
        <cfvo type="num" val="1.01"/>
      </iconSet>
    </cfRule>
  </conditionalFormatting>
  <conditionalFormatting sqref="H71">
    <cfRule type="iconSet" priority="57">
      <iconSet iconSet="3Symbols">
        <cfvo type="percent" val="0"/>
        <cfvo type="num" val="0.85"/>
        <cfvo type="num" val="0.995"/>
      </iconSet>
    </cfRule>
  </conditionalFormatting>
  <conditionalFormatting sqref="I71">
    <cfRule type="iconSet" priority="58">
      <iconSet iconSet="5Arrows">
        <cfvo type="percent" val="0"/>
        <cfvo type="num" val="0.99"/>
        <cfvo type="num" val="1"/>
        <cfvo type="num" val="1" gte="0"/>
        <cfvo type="num" val="1.01"/>
      </iconSet>
    </cfRule>
  </conditionalFormatting>
  <conditionalFormatting sqref="H81">
    <cfRule type="iconSet" priority="55">
      <iconSet iconSet="3Symbols">
        <cfvo type="percent" val="0"/>
        <cfvo type="num" val="0.85"/>
        <cfvo type="num" val="0.995"/>
      </iconSet>
    </cfRule>
  </conditionalFormatting>
  <conditionalFormatting sqref="I81">
    <cfRule type="iconSet" priority="56">
      <iconSet iconSet="5Arrows">
        <cfvo type="percent" val="0"/>
        <cfvo type="num" val="0.99"/>
        <cfvo type="num" val="1"/>
        <cfvo type="num" val="1" gte="0"/>
        <cfvo type="num" val="1.01"/>
      </iconSet>
    </cfRule>
  </conditionalFormatting>
  <conditionalFormatting sqref="H89">
    <cfRule type="iconSet" priority="53">
      <iconSet iconSet="3Symbols">
        <cfvo type="percent" val="0"/>
        <cfvo type="num" val="0.85"/>
        <cfvo type="num" val="0.995"/>
      </iconSet>
    </cfRule>
  </conditionalFormatting>
  <conditionalFormatting sqref="I89">
    <cfRule type="iconSet" priority="54">
      <iconSet iconSet="5Arrows">
        <cfvo type="percent" val="0"/>
        <cfvo type="num" val="0.99"/>
        <cfvo type="num" val="1"/>
        <cfvo type="num" val="1" gte="0"/>
        <cfvo type="num" val="1.01"/>
      </iconSet>
    </cfRule>
  </conditionalFormatting>
  <conditionalFormatting sqref="H90">
    <cfRule type="iconSet" priority="51">
      <iconSet iconSet="3Symbols">
        <cfvo type="percent" val="0"/>
        <cfvo type="num" val="0.85"/>
        <cfvo type="num" val="0.995"/>
      </iconSet>
    </cfRule>
  </conditionalFormatting>
  <conditionalFormatting sqref="I90">
    <cfRule type="iconSet" priority="52">
      <iconSet iconSet="5Arrows">
        <cfvo type="percent" val="0"/>
        <cfvo type="num" val="0.99"/>
        <cfvo type="num" val="1"/>
        <cfvo type="num" val="1" gte="0"/>
        <cfvo type="num" val="1.01"/>
      </iconSet>
    </cfRule>
  </conditionalFormatting>
  <conditionalFormatting sqref="H91">
    <cfRule type="iconSet" priority="49">
      <iconSet iconSet="3Symbols">
        <cfvo type="percent" val="0"/>
        <cfvo type="num" val="0.85"/>
        <cfvo type="num" val="0.995"/>
      </iconSet>
    </cfRule>
  </conditionalFormatting>
  <conditionalFormatting sqref="I91">
    <cfRule type="iconSet" priority="50">
      <iconSet iconSet="5Arrows">
        <cfvo type="percent" val="0"/>
        <cfvo type="num" val="0.99"/>
        <cfvo type="num" val="1"/>
        <cfvo type="num" val="1" gte="0"/>
        <cfvo type="num" val="1.01"/>
      </iconSet>
    </cfRule>
  </conditionalFormatting>
  <conditionalFormatting sqref="H101">
    <cfRule type="iconSet" priority="47">
      <iconSet iconSet="3Symbols">
        <cfvo type="percent" val="0"/>
        <cfvo type="num" val="0.85"/>
        <cfvo type="num" val="0.995"/>
      </iconSet>
    </cfRule>
  </conditionalFormatting>
  <conditionalFormatting sqref="H105">
    <cfRule type="iconSet" priority="45">
      <iconSet iconSet="3Symbols">
        <cfvo type="percent" val="0"/>
        <cfvo type="num" val="0.85"/>
        <cfvo type="num" val="0.995"/>
      </iconSet>
    </cfRule>
  </conditionalFormatting>
  <conditionalFormatting sqref="I105">
    <cfRule type="iconSet" priority="46">
      <iconSet iconSet="5Arrows">
        <cfvo type="percent" val="0"/>
        <cfvo type="num" val="0.99"/>
        <cfvo type="num" val="1"/>
        <cfvo type="num" val="1" gte="0"/>
        <cfvo type="num" val="1.01"/>
      </iconSet>
    </cfRule>
  </conditionalFormatting>
  <conditionalFormatting sqref="H106">
    <cfRule type="iconSet" priority="43">
      <iconSet iconSet="3Symbols">
        <cfvo type="percent" val="0"/>
        <cfvo type="num" val="0.85"/>
        <cfvo type="num" val="0.995"/>
      </iconSet>
    </cfRule>
  </conditionalFormatting>
  <conditionalFormatting sqref="I106">
    <cfRule type="iconSet" priority="44">
      <iconSet iconSet="5Arrows">
        <cfvo type="percent" val="0"/>
        <cfvo type="num" val="0.99"/>
        <cfvo type="num" val="1"/>
        <cfvo type="num" val="1" gte="0"/>
        <cfvo type="num" val="1.01"/>
      </iconSet>
    </cfRule>
  </conditionalFormatting>
  <conditionalFormatting sqref="H145">
    <cfRule type="iconSet" priority="41">
      <iconSet iconSet="3Symbols">
        <cfvo type="percent" val="0"/>
        <cfvo type="num" val="0.85"/>
        <cfvo type="num" val="0.995"/>
      </iconSet>
    </cfRule>
  </conditionalFormatting>
  <conditionalFormatting sqref="I145">
    <cfRule type="iconSet" priority="42">
      <iconSet iconSet="5Arrows">
        <cfvo type="percent" val="0"/>
        <cfvo type="num" val="0.99"/>
        <cfvo type="num" val="1"/>
        <cfvo type="num" val="1" gte="0"/>
        <cfvo type="num" val="1.01"/>
      </iconSet>
    </cfRule>
  </conditionalFormatting>
  <conditionalFormatting sqref="H146">
    <cfRule type="iconSet" priority="39">
      <iconSet iconSet="3Symbols">
        <cfvo type="percent" val="0"/>
        <cfvo type="num" val="0.85"/>
        <cfvo type="num" val="0.995"/>
      </iconSet>
    </cfRule>
  </conditionalFormatting>
  <conditionalFormatting sqref="I146">
    <cfRule type="iconSet" priority="40">
      <iconSet iconSet="5Arrows">
        <cfvo type="percent" val="0"/>
        <cfvo type="num" val="0.99"/>
        <cfvo type="num" val="1"/>
        <cfvo type="num" val="1" gte="0"/>
        <cfvo type="num" val="1.01"/>
      </iconSet>
    </cfRule>
  </conditionalFormatting>
  <conditionalFormatting sqref="H216">
    <cfRule type="iconSet" priority="36">
      <iconSet iconSet="5Arrows">
        <cfvo type="percent" val="0"/>
        <cfvo type="num" val="0.99"/>
        <cfvo type="num" val="1"/>
        <cfvo type="num" val="1" gte="0"/>
        <cfvo type="num" val="1.01"/>
      </iconSet>
    </cfRule>
  </conditionalFormatting>
  <conditionalFormatting sqref="H216">
    <cfRule type="iconSet" priority="37">
      <iconSet iconSet="3Symbols">
        <cfvo type="percent" val="0"/>
        <cfvo type="num" val="0.85"/>
        <cfvo type="num" val="0.995"/>
      </iconSet>
    </cfRule>
  </conditionalFormatting>
  <conditionalFormatting sqref="H217">
    <cfRule type="iconSet" priority="33">
      <iconSet iconSet="5Arrows">
        <cfvo type="percent" val="0"/>
        <cfvo type="num" val="0.99"/>
        <cfvo type="num" val="1"/>
        <cfvo type="num" val="1" gte="0"/>
        <cfvo type="num" val="1.01"/>
      </iconSet>
    </cfRule>
  </conditionalFormatting>
  <conditionalFormatting sqref="H217">
    <cfRule type="iconSet" priority="34">
      <iconSet iconSet="3Symbols">
        <cfvo type="percent" val="0"/>
        <cfvo type="num" val="0.85"/>
        <cfvo type="num" val="0.995"/>
      </iconSet>
    </cfRule>
  </conditionalFormatting>
  <conditionalFormatting sqref="I217">
    <cfRule type="iconSet" priority="35">
      <iconSet iconSet="5Arrows">
        <cfvo type="percent" val="0"/>
        <cfvo type="num" val="0.99"/>
        <cfvo type="num" val="1"/>
        <cfvo type="num" val="1" gte="0"/>
        <cfvo type="num" val="1.01"/>
      </iconSet>
    </cfRule>
  </conditionalFormatting>
  <conditionalFormatting sqref="H218">
    <cfRule type="iconSet" priority="30">
      <iconSet iconSet="5Arrows">
        <cfvo type="percent" val="0"/>
        <cfvo type="num" val="0.99"/>
        <cfvo type="num" val="1"/>
        <cfvo type="num" val="1" gte="0"/>
        <cfvo type="num" val="1.01"/>
      </iconSet>
    </cfRule>
  </conditionalFormatting>
  <conditionalFormatting sqref="H218">
    <cfRule type="iconSet" priority="31">
      <iconSet iconSet="3Symbols">
        <cfvo type="percent" val="0"/>
        <cfvo type="num" val="0.85"/>
        <cfvo type="num" val="0.995"/>
      </iconSet>
    </cfRule>
  </conditionalFormatting>
  <conditionalFormatting sqref="I218">
    <cfRule type="iconSet" priority="32">
      <iconSet iconSet="5Arrows">
        <cfvo type="percent" val="0"/>
        <cfvo type="num" val="0.99"/>
        <cfvo type="num" val="1"/>
        <cfvo type="num" val="1" gte="0"/>
        <cfvo type="num" val="1.01"/>
      </iconSet>
    </cfRule>
  </conditionalFormatting>
  <conditionalFormatting sqref="H215">
    <cfRule type="iconSet" priority="27">
      <iconSet iconSet="5Arrows">
        <cfvo type="percent" val="0"/>
        <cfvo type="num" val="0.99"/>
        <cfvo type="num" val="1"/>
        <cfvo type="num" val="1" gte="0"/>
        <cfvo type="num" val="1.01"/>
      </iconSet>
    </cfRule>
  </conditionalFormatting>
  <conditionalFormatting sqref="H215">
    <cfRule type="iconSet" priority="28">
      <iconSet iconSet="3Symbols">
        <cfvo type="percent" val="0"/>
        <cfvo type="num" val="0.85"/>
        <cfvo type="num" val="0.995"/>
      </iconSet>
    </cfRule>
  </conditionalFormatting>
  <conditionalFormatting sqref="I215:I216">
    <cfRule type="iconSet" priority="29">
      <iconSet iconSet="5Arrows">
        <cfvo type="percent" val="0"/>
        <cfvo type="num" val="0.99"/>
        <cfvo type="num" val="1"/>
        <cfvo type="num" val="1" gte="0"/>
        <cfvo type="num" val="1.01"/>
      </iconSet>
    </cfRule>
  </conditionalFormatting>
  <conditionalFormatting sqref="H221:H226">
    <cfRule type="iconSet" priority="4456">
      <iconSet iconSet="3Symbols">
        <cfvo type="percent" val="0"/>
        <cfvo type="num" val="0.85"/>
        <cfvo type="num" val="0.995"/>
      </iconSet>
    </cfRule>
  </conditionalFormatting>
  <conditionalFormatting sqref="I221:I226">
    <cfRule type="iconSet" priority="4458">
      <iconSet iconSet="5Arrows">
        <cfvo type="percent" val="0"/>
        <cfvo type="num" val="0.99"/>
        <cfvo type="num" val="1"/>
        <cfvo type="num" val="1" gte="0"/>
        <cfvo type="num" val="1.01"/>
      </iconSet>
    </cfRule>
  </conditionalFormatting>
  <conditionalFormatting sqref="H221:H226">
    <cfRule type="iconSet" priority="4460">
      <iconSet iconSet="5Arrows">
        <cfvo type="percent" val="0"/>
        <cfvo type="num" val="0.99"/>
        <cfvo type="num" val="1"/>
        <cfvo type="num" val="1" gte="0"/>
        <cfvo type="num" val="1.01"/>
      </iconSet>
    </cfRule>
  </conditionalFormatting>
  <conditionalFormatting sqref="H227:H228">
    <cfRule type="iconSet" priority="22">
      <iconSet iconSet="3Symbols">
        <cfvo type="percent" val="0"/>
        <cfvo type="num" val="0.85"/>
        <cfvo type="num" val="0.995"/>
      </iconSet>
    </cfRule>
  </conditionalFormatting>
  <conditionalFormatting sqref="I227:I230">
    <cfRule type="iconSet" priority="23">
      <iconSet iconSet="5Arrows">
        <cfvo type="percent" val="0"/>
        <cfvo type="num" val="0.99"/>
        <cfvo type="num" val="1"/>
        <cfvo type="num" val="1" gte="0"/>
        <cfvo type="num" val="1.01"/>
      </iconSet>
    </cfRule>
  </conditionalFormatting>
  <conditionalFormatting sqref="H227:H228">
    <cfRule type="iconSet" priority="24">
      <iconSet iconSet="5Arrows">
        <cfvo type="percent" val="0"/>
        <cfvo type="num" val="0.99"/>
        <cfvo type="num" val="1"/>
        <cfvo type="num" val="1" gte="0"/>
        <cfvo type="num" val="1.01"/>
      </iconSet>
    </cfRule>
  </conditionalFormatting>
  <conditionalFormatting sqref="H236">
    <cfRule type="iconSet" priority="15">
      <iconSet iconSet="5Arrows">
        <cfvo type="percent" val="0"/>
        <cfvo type="num" val="0.99"/>
        <cfvo type="num" val="1"/>
        <cfvo type="num" val="1" gte="0"/>
        <cfvo type="num" val="1.01"/>
      </iconSet>
    </cfRule>
  </conditionalFormatting>
  <conditionalFormatting sqref="H236">
    <cfRule type="iconSet" priority="14">
      <iconSet iconSet="5Arrows">
        <cfvo type="percent" val="0"/>
        <cfvo type="num" val="0.99"/>
        <cfvo type="num" val="1"/>
        <cfvo type="num" val="1" gte="0"/>
        <cfvo type="num" val="1.01"/>
      </iconSet>
    </cfRule>
  </conditionalFormatting>
  <conditionalFormatting sqref="H236">
    <cfRule type="iconSet" priority="16">
      <iconSet iconSet="3Symbols">
        <cfvo type="percent" val="0"/>
        <cfvo type="num" val="0.85"/>
        <cfvo type="num" val="0.995"/>
      </iconSet>
    </cfRule>
  </conditionalFormatting>
  <conditionalFormatting sqref="H235">
    <cfRule type="iconSet" priority="11">
      <iconSet iconSet="5Arrows">
        <cfvo type="percent" val="0"/>
        <cfvo type="num" val="0.99"/>
        <cfvo type="num" val="1"/>
        <cfvo type="num" val="1" gte="0"/>
        <cfvo type="num" val="1.01"/>
      </iconSet>
    </cfRule>
  </conditionalFormatting>
  <conditionalFormatting sqref="H235">
    <cfRule type="iconSet" priority="10">
      <iconSet iconSet="5Arrows">
        <cfvo type="percent" val="0"/>
        <cfvo type="num" val="0.99"/>
        <cfvo type="num" val="1"/>
        <cfvo type="num" val="1" gte="0"/>
        <cfvo type="num" val="1.01"/>
      </iconSet>
    </cfRule>
  </conditionalFormatting>
  <conditionalFormatting sqref="H235">
    <cfRule type="iconSet" priority="12">
      <iconSet iconSet="3Symbols">
        <cfvo type="percent" val="0"/>
        <cfvo type="num" val="0.85"/>
        <cfvo type="num" val="0.995"/>
      </iconSet>
    </cfRule>
  </conditionalFormatting>
  <conditionalFormatting sqref="I235:I237">
    <cfRule type="iconSet" priority="13">
      <iconSet iconSet="5Arrows">
        <cfvo type="percent" val="0"/>
        <cfvo type="num" val="0.99"/>
        <cfvo type="num" val="1"/>
        <cfvo type="num" val="1" gte="0"/>
        <cfvo type="num" val="1.01"/>
      </iconSet>
    </cfRule>
  </conditionalFormatting>
  <conditionalFormatting sqref="H240:H241">
    <cfRule type="iconSet" priority="4585">
      <iconSet iconSet="5Arrows">
        <cfvo type="percent" val="0"/>
        <cfvo type="num" val="0.99"/>
        <cfvo type="num" val="1"/>
        <cfvo type="num" val="1" gte="0"/>
        <cfvo type="num" val="1.01"/>
      </iconSet>
    </cfRule>
  </conditionalFormatting>
  <conditionalFormatting sqref="H240:H242">
    <cfRule type="iconSet" priority="4586">
      <iconSet iconSet="3Symbols">
        <cfvo type="percent" val="0"/>
        <cfvo type="num" val="0.85"/>
        <cfvo type="num" val="0.995"/>
      </iconSet>
    </cfRule>
  </conditionalFormatting>
  <conditionalFormatting sqref="I240:I242">
    <cfRule type="iconSet" priority="4588">
      <iconSet iconSet="5Arrows">
        <cfvo type="percent" val="0"/>
        <cfvo type="num" val="0.99"/>
        <cfvo type="num" val="1"/>
        <cfvo type="num" val="1" gte="0"/>
        <cfvo type="num" val="1.01"/>
      </iconSet>
    </cfRule>
  </conditionalFormatting>
  <conditionalFormatting sqref="H244">
    <cfRule type="iconSet" priority="7">
      <iconSet iconSet="5Arrows">
        <cfvo type="percent" val="0"/>
        <cfvo type="num" val="0.99"/>
        <cfvo type="num" val="1"/>
        <cfvo type="num" val="1" gte="0"/>
        <cfvo type="num" val="1.01"/>
      </iconSet>
    </cfRule>
  </conditionalFormatting>
  <conditionalFormatting sqref="H244">
    <cfRule type="iconSet" priority="8">
      <iconSet iconSet="3Symbols">
        <cfvo type="percent" val="0"/>
        <cfvo type="num" val="0.85"/>
        <cfvo type="num" val="0.995"/>
      </iconSet>
    </cfRule>
  </conditionalFormatting>
  <conditionalFormatting sqref="I244">
    <cfRule type="iconSet" priority="9">
      <iconSet iconSet="5Arrows">
        <cfvo type="percent" val="0"/>
        <cfvo type="num" val="0.99"/>
        <cfvo type="num" val="1"/>
        <cfvo type="num" val="1" gte="0"/>
        <cfvo type="num" val="1.01"/>
      </iconSet>
    </cfRule>
  </conditionalFormatting>
  <conditionalFormatting sqref="H252">
    <cfRule type="iconSet" priority="4">
      <iconSet iconSet="5Arrows">
        <cfvo type="percent" val="0"/>
        <cfvo type="num" val="0.99"/>
        <cfvo type="num" val="1"/>
        <cfvo type="num" val="1" gte="0"/>
        <cfvo type="num" val="1.01"/>
      </iconSet>
    </cfRule>
  </conditionalFormatting>
  <conditionalFormatting sqref="H252">
    <cfRule type="iconSet" priority="5">
      <iconSet iconSet="3Symbols">
        <cfvo type="percent" val="0"/>
        <cfvo type="num" val="0.85"/>
        <cfvo type="num" val="0.995"/>
      </iconSet>
    </cfRule>
  </conditionalFormatting>
  <conditionalFormatting sqref="I252">
    <cfRule type="iconSet" priority="6">
      <iconSet iconSet="5Arrows">
        <cfvo type="percent" val="0"/>
        <cfvo type="num" val="0.99"/>
        <cfvo type="num" val="1"/>
        <cfvo type="num" val="1" gte="0"/>
        <cfvo type="num" val="1.01"/>
      </iconSet>
    </cfRule>
  </conditionalFormatting>
  <conditionalFormatting sqref="H253">
    <cfRule type="iconSet" priority="1">
      <iconSet iconSet="5Arrows">
        <cfvo type="percent" val="0"/>
        <cfvo type="num" val="0.99"/>
        <cfvo type="num" val="1"/>
        <cfvo type="num" val="1" gte="0"/>
        <cfvo type="num" val="1.01"/>
      </iconSet>
    </cfRule>
  </conditionalFormatting>
  <conditionalFormatting sqref="H253">
    <cfRule type="iconSet" priority="2">
      <iconSet iconSet="3Symbols">
        <cfvo type="percent" val="0"/>
        <cfvo type="num" val="0.85"/>
        <cfvo type="num" val="0.995"/>
      </iconSet>
    </cfRule>
  </conditionalFormatting>
  <conditionalFormatting sqref="I253">
    <cfRule type="iconSet" priority="3">
      <iconSet iconSet="5Arrows">
        <cfvo type="percent" val="0"/>
        <cfvo type="num" val="0.99"/>
        <cfvo type="num" val="1"/>
        <cfvo type="num" val="1" gte="0"/>
        <cfvo type="num" val="1.01"/>
      </iconSet>
    </cfRule>
  </conditionalFormatting>
  <hyperlinks>
    <hyperlink ref="B41" r:id="rId1" display="consultantplus://offline/ref=1DAB841444F5CA6947AE739035A2217D851C0C1DD695A591E352991F73CF0AED19F857B33D7FE297D9E5C50EC8W8S5I"/>
  </hyperlinks>
  <printOptions horizontalCentered="1"/>
  <pageMargins left="0.25" right="0.25" top="0.75" bottom="0.75" header="0.3" footer="0.3"/>
  <pageSetup paperSize="9" scale="60" fitToWidth="0" fitToHeight="0" pageOrder="overThenDown" orientation="landscape" r:id="rId2"/>
  <headerFooter differentFirst="1">
    <oddHeader>&amp;C&amp;"Times New Roman,обычный"&amp;8&amp;P</oddHeader>
  </headerFooter>
  <ignoredErrors>
    <ignoredError sqref="I56 H113 H366 H83:I83 H93:I93 H141:I141 H132:I132 H153:I153 H158:I158 H166:I166 H172 H211:I211 H220:I220 H232:I232 H239 H261:I261 H274 H292:I292 H306:I306 H386 H405 H419:I419 H439:I439 H442:I442 H447:I447 H456:I456 H467:I467 H486:I486 H491 H409:I409 H330" formula="1"/>
    <ignoredError sqref="A36 A49 A103 A138 A158 A93 A166 A172" twoDigitTextYear="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65"/>
  <sheetViews>
    <sheetView view="pageBreakPreview" zoomScale="60" zoomScaleNormal="80" workbookViewId="0">
      <pane ySplit="5" topLeftCell="A6" activePane="bottomLeft" state="frozen"/>
      <selection pane="bottomLeft" activeCell="L4" sqref="L4:L5"/>
    </sheetView>
  </sheetViews>
  <sheetFormatPr defaultRowHeight="15" outlineLevelRow="1" x14ac:dyDescent="0.25"/>
  <cols>
    <col min="1" max="1" width="6.5703125" style="180" customWidth="1"/>
    <col min="2" max="2" width="43" style="181" customWidth="1"/>
    <col min="3" max="3" width="13.140625" style="182" customWidth="1"/>
    <col min="4" max="4" width="19.140625" style="183" customWidth="1"/>
    <col min="5" max="5" width="16.140625" style="183" customWidth="1"/>
    <col min="6" max="6" width="27.7109375" style="184" bestFit="1" customWidth="1"/>
    <col min="7" max="7" width="9.28515625" style="185" customWidth="1"/>
    <col min="8" max="8" width="9.42578125" style="185" customWidth="1"/>
    <col min="9" max="9" width="12.42578125" style="185" customWidth="1"/>
    <col min="10" max="10" width="6" style="185" customWidth="1"/>
    <col min="11" max="11" width="15" style="185" customWidth="1"/>
    <col min="12" max="12" width="82.28515625" style="182" customWidth="1"/>
    <col min="13" max="13" width="70.5703125" customWidth="1"/>
    <col min="497" max="497" width="10.28515625" bestFit="1" customWidth="1"/>
    <col min="498" max="499" width="9.28515625" bestFit="1" customWidth="1"/>
    <col min="501" max="501" width="10.28515625" bestFit="1" customWidth="1"/>
    <col min="502" max="503" width="9.28515625" bestFit="1" customWidth="1"/>
    <col min="505" max="505" width="10.28515625" bestFit="1" customWidth="1"/>
    <col min="506" max="507" width="9.28515625" bestFit="1" customWidth="1"/>
    <col min="509" max="509" width="10.28515625" bestFit="1" customWidth="1"/>
    <col min="510" max="511" width="9.28515625" bestFit="1" customWidth="1"/>
    <col min="513" max="513" width="10.28515625" bestFit="1" customWidth="1"/>
    <col min="514" max="515" width="9.28515625" bestFit="1" customWidth="1"/>
    <col min="517" max="517" width="10.28515625" bestFit="1" customWidth="1"/>
    <col min="518" max="519" width="9.28515625" bestFit="1" customWidth="1"/>
    <col min="521" max="521" width="10.28515625" bestFit="1" customWidth="1"/>
    <col min="522" max="523" width="9.28515625" bestFit="1" customWidth="1"/>
    <col min="525" max="525" width="10.28515625" bestFit="1" customWidth="1"/>
    <col min="526" max="527" width="9.28515625" bestFit="1" customWidth="1"/>
    <col min="529" max="529" width="10.28515625" bestFit="1" customWidth="1"/>
    <col min="530" max="531" width="9.28515625" bestFit="1" customWidth="1"/>
    <col min="533" max="533" width="10.28515625" bestFit="1" customWidth="1"/>
    <col min="534" max="535" width="9.28515625" bestFit="1" customWidth="1"/>
    <col min="537" max="537" width="10.28515625" bestFit="1" customWidth="1"/>
    <col min="538" max="539" width="9.28515625" bestFit="1" customWidth="1"/>
    <col min="541" max="541" width="10.28515625" bestFit="1" customWidth="1"/>
    <col min="542" max="543" width="9.28515625" bestFit="1" customWidth="1"/>
    <col min="545" max="545" width="10.28515625" bestFit="1" customWidth="1"/>
    <col min="546" max="547" width="9.28515625" bestFit="1" customWidth="1"/>
    <col min="549" max="549" width="10.28515625" bestFit="1" customWidth="1"/>
    <col min="550" max="551" width="9.28515625" bestFit="1" customWidth="1"/>
    <col min="553" max="553" width="10.28515625" bestFit="1" customWidth="1"/>
    <col min="554" max="555" width="9.28515625" bestFit="1" customWidth="1"/>
    <col min="557" max="557" width="10.28515625" bestFit="1" customWidth="1"/>
    <col min="558" max="559" width="9.28515625" bestFit="1" customWidth="1"/>
    <col min="561" max="561" width="10.28515625" bestFit="1" customWidth="1"/>
    <col min="562" max="563" width="9.28515625" bestFit="1" customWidth="1"/>
    <col min="565" max="565" width="10.28515625" bestFit="1" customWidth="1"/>
    <col min="566" max="567" width="9.28515625" bestFit="1" customWidth="1"/>
    <col min="569" max="569" width="10.28515625" bestFit="1" customWidth="1"/>
    <col min="570" max="571" width="9.28515625" bestFit="1" customWidth="1"/>
    <col min="573" max="573" width="10.28515625" bestFit="1" customWidth="1"/>
    <col min="574" max="575" width="9.28515625" bestFit="1" customWidth="1"/>
    <col min="577" max="577" width="10.28515625" bestFit="1" customWidth="1"/>
    <col min="578" max="579" width="9.28515625" bestFit="1" customWidth="1"/>
    <col min="581" max="581" width="10.28515625" bestFit="1" customWidth="1"/>
    <col min="582" max="583" width="9.28515625" bestFit="1" customWidth="1"/>
    <col min="585" max="585" width="10.28515625" bestFit="1" customWidth="1"/>
    <col min="586" max="587" width="9.28515625" bestFit="1" customWidth="1"/>
    <col min="589" max="589" width="10.28515625" bestFit="1" customWidth="1"/>
    <col min="590" max="591" width="9.28515625" bestFit="1" customWidth="1"/>
    <col min="593" max="593" width="10.28515625" bestFit="1" customWidth="1"/>
    <col min="594" max="595" width="9.28515625" bestFit="1" customWidth="1"/>
    <col min="597" max="597" width="10.28515625" bestFit="1" customWidth="1"/>
    <col min="598" max="599" width="9.28515625" bestFit="1" customWidth="1"/>
    <col min="601" max="601" width="10.28515625" bestFit="1" customWidth="1"/>
    <col min="602" max="603" width="9.28515625" bestFit="1" customWidth="1"/>
    <col min="605" max="605" width="10.28515625" bestFit="1" customWidth="1"/>
    <col min="606" max="607" width="9.28515625" bestFit="1" customWidth="1"/>
    <col min="609" max="609" width="10.28515625" bestFit="1" customWidth="1"/>
    <col min="610" max="611" width="9.28515625" bestFit="1" customWidth="1"/>
    <col min="613" max="613" width="10.28515625" bestFit="1" customWidth="1"/>
    <col min="614" max="615" width="9.28515625" bestFit="1" customWidth="1"/>
    <col min="617" max="617" width="10.28515625" bestFit="1" customWidth="1"/>
    <col min="618" max="619" width="9.28515625" bestFit="1" customWidth="1"/>
    <col min="621" max="621" width="10.28515625" bestFit="1" customWidth="1"/>
    <col min="622" max="623" width="9.28515625" bestFit="1" customWidth="1"/>
    <col min="625" max="625" width="10.28515625" bestFit="1" customWidth="1"/>
    <col min="626" max="627" width="9.28515625" bestFit="1" customWidth="1"/>
    <col min="629" max="629" width="10.28515625" bestFit="1" customWidth="1"/>
    <col min="630" max="631" width="9.28515625" bestFit="1" customWidth="1"/>
    <col min="633" max="633" width="10.28515625" bestFit="1" customWidth="1"/>
    <col min="634" max="635" width="9.28515625" bestFit="1" customWidth="1"/>
    <col min="637" max="637" width="10.28515625" bestFit="1" customWidth="1"/>
    <col min="638" max="639" width="9.28515625" bestFit="1" customWidth="1"/>
    <col min="641" max="641" width="10.28515625" bestFit="1" customWidth="1"/>
    <col min="642" max="643" width="9.28515625" bestFit="1" customWidth="1"/>
    <col min="645" max="645" width="10.28515625" bestFit="1" customWidth="1"/>
    <col min="646" max="647" width="9.28515625" bestFit="1" customWidth="1"/>
    <col min="649" max="649" width="10.28515625" bestFit="1" customWidth="1"/>
    <col min="650" max="651" width="9.28515625" bestFit="1" customWidth="1"/>
    <col min="653" max="653" width="10.28515625" bestFit="1" customWidth="1"/>
    <col min="654" max="655" width="9.28515625" bestFit="1" customWidth="1"/>
    <col min="657" max="657" width="10.28515625" bestFit="1" customWidth="1"/>
    <col min="658" max="659" width="9.28515625" bestFit="1" customWidth="1"/>
    <col min="661" max="661" width="10.28515625" bestFit="1" customWidth="1"/>
    <col min="662" max="663" width="9.28515625" bestFit="1" customWidth="1"/>
    <col min="665" max="665" width="10.28515625" bestFit="1" customWidth="1"/>
    <col min="666" max="667" width="9.28515625" bestFit="1" customWidth="1"/>
    <col min="669" max="669" width="10.28515625" bestFit="1" customWidth="1"/>
    <col min="670" max="671" width="9.28515625" bestFit="1" customWidth="1"/>
    <col min="673" max="673" width="10.28515625" bestFit="1" customWidth="1"/>
    <col min="674" max="675" width="9.28515625" bestFit="1" customWidth="1"/>
    <col min="677" max="677" width="10.28515625" bestFit="1" customWidth="1"/>
    <col min="678" max="679" width="9.28515625" bestFit="1" customWidth="1"/>
    <col min="681" max="681" width="10.28515625" bestFit="1" customWidth="1"/>
    <col min="682" max="683" width="9.28515625" bestFit="1" customWidth="1"/>
    <col min="685" max="685" width="10.28515625" bestFit="1" customWidth="1"/>
    <col min="686" max="687" width="9.28515625" bestFit="1" customWidth="1"/>
    <col min="689" max="689" width="10.28515625" bestFit="1" customWidth="1"/>
    <col min="690" max="691" width="9.28515625" bestFit="1" customWidth="1"/>
    <col min="693" max="693" width="10.28515625" bestFit="1" customWidth="1"/>
    <col min="694" max="695" width="9.28515625" bestFit="1" customWidth="1"/>
    <col min="697" max="697" width="10.28515625" bestFit="1" customWidth="1"/>
    <col min="698" max="699" width="9.28515625" bestFit="1" customWidth="1"/>
    <col min="701" max="701" width="10.28515625" bestFit="1" customWidth="1"/>
    <col min="702" max="703" width="9.28515625" bestFit="1" customWidth="1"/>
    <col min="705" max="705" width="10.28515625" bestFit="1" customWidth="1"/>
    <col min="706" max="707" width="9.28515625" bestFit="1" customWidth="1"/>
    <col min="709" max="709" width="10.28515625" bestFit="1" customWidth="1"/>
    <col min="710" max="711" width="9.28515625" bestFit="1" customWidth="1"/>
    <col min="713" max="713" width="10.28515625" bestFit="1" customWidth="1"/>
    <col min="714" max="715" width="9.28515625" bestFit="1" customWidth="1"/>
    <col min="717" max="717" width="10.28515625" bestFit="1" customWidth="1"/>
    <col min="718" max="719" width="9.28515625" bestFit="1" customWidth="1"/>
    <col min="721" max="721" width="10.28515625" bestFit="1" customWidth="1"/>
    <col min="722" max="723" width="9.28515625" bestFit="1" customWidth="1"/>
    <col min="725" max="725" width="10.28515625" bestFit="1" customWidth="1"/>
    <col min="726" max="727" width="9.28515625" bestFit="1" customWidth="1"/>
    <col min="729" max="729" width="10.28515625" bestFit="1" customWidth="1"/>
    <col min="730" max="731" width="9.28515625" bestFit="1" customWidth="1"/>
    <col min="733" max="733" width="10.28515625" bestFit="1" customWidth="1"/>
    <col min="734" max="735" width="9.28515625" bestFit="1" customWidth="1"/>
    <col min="737" max="737" width="10.28515625" bestFit="1" customWidth="1"/>
    <col min="738" max="739" width="9.28515625" bestFit="1" customWidth="1"/>
    <col min="741" max="741" width="10.28515625" bestFit="1" customWidth="1"/>
    <col min="742" max="743" width="9.28515625" bestFit="1" customWidth="1"/>
    <col min="745" max="745" width="10.28515625" bestFit="1" customWidth="1"/>
    <col min="746" max="747" width="9.28515625" bestFit="1" customWidth="1"/>
    <col min="749" max="749" width="10.28515625" bestFit="1" customWidth="1"/>
    <col min="750" max="751" width="9.28515625" bestFit="1" customWidth="1"/>
    <col min="753" max="753" width="10.28515625" bestFit="1" customWidth="1"/>
    <col min="754" max="755" width="9.28515625" bestFit="1" customWidth="1"/>
    <col min="757" max="757" width="10.28515625" bestFit="1" customWidth="1"/>
    <col min="758" max="759" width="9.28515625" bestFit="1" customWidth="1"/>
    <col min="761" max="761" width="10.28515625" bestFit="1" customWidth="1"/>
    <col min="762" max="763" width="9.28515625" bestFit="1" customWidth="1"/>
    <col min="765" max="765" width="10.28515625" bestFit="1" customWidth="1"/>
    <col min="766" max="767" width="9.28515625" bestFit="1" customWidth="1"/>
    <col min="769" max="769" width="10.28515625" bestFit="1" customWidth="1"/>
    <col min="770" max="771" width="9.28515625" bestFit="1" customWidth="1"/>
    <col min="773" max="773" width="10.28515625" bestFit="1" customWidth="1"/>
    <col min="774" max="775" width="9.28515625" bestFit="1" customWidth="1"/>
    <col min="777" max="777" width="10.28515625" bestFit="1" customWidth="1"/>
    <col min="778" max="779" width="9.28515625" bestFit="1" customWidth="1"/>
    <col min="781" max="781" width="10.28515625" bestFit="1" customWidth="1"/>
    <col min="782" max="783" width="9.28515625" bestFit="1" customWidth="1"/>
    <col min="785" max="785" width="10.28515625" bestFit="1" customWidth="1"/>
    <col min="786" max="787" width="9.28515625" bestFit="1" customWidth="1"/>
    <col min="789" max="789" width="10.28515625" bestFit="1" customWidth="1"/>
    <col min="790" max="791" width="9.28515625" bestFit="1" customWidth="1"/>
    <col min="793" max="793" width="10.28515625" bestFit="1" customWidth="1"/>
    <col min="794" max="795" width="9.28515625" bestFit="1" customWidth="1"/>
    <col min="797" max="797" width="10.28515625" bestFit="1" customWidth="1"/>
    <col min="798" max="799" width="9.28515625" bestFit="1" customWidth="1"/>
    <col min="801" max="801" width="10.28515625" bestFit="1" customWidth="1"/>
    <col min="802" max="803" width="9.28515625" bestFit="1" customWidth="1"/>
    <col min="805" max="805" width="10.28515625" bestFit="1" customWidth="1"/>
    <col min="806" max="807" width="9.28515625" bestFit="1" customWidth="1"/>
    <col min="809" max="809" width="10.28515625" bestFit="1" customWidth="1"/>
    <col min="810" max="811" width="9.28515625" bestFit="1" customWidth="1"/>
    <col min="813" max="813" width="10.28515625" bestFit="1" customWidth="1"/>
    <col min="814" max="815" width="9.28515625" bestFit="1" customWidth="1"/>
    <col min="817" max="817" width="10.28515625" bestFit="1" customWidth="1"/>
    <col min="818" max="819" width="9.28515625" bestFit="1" customWidth="1"/>
    <col min="821" max="821" width="10.28515625" bestFit="1" customWidth="1"/>
    <col min="822" max="823" width="9.28515625" bestFit="1" customWidth="1"/>
    <col min="825" max="825" width="10.28515625" bestFit="1" customWidth="1"/>
    <col min="826" max="827" width="9.28515625" bestFit="1" customWidth="1"/>
    <col min="829" max="829" width="10.28515625" bestFit="1" customWidth="1"/>
    <col min="830" max="831" width="9.28515625" bestFit="1" customWidth="1"/>
    <col min="833" max="833" width="10.28515625" bestFit="1" customWidth="1"/>
    <col min="834" max="835" width="9.28515625" bestFit="1" customWidth="1"/>
    <col min="837" max="837" width="10.28515625" bestFit="1" customWidth="1"/>
    <col min="838" max="839" width="9.28515625" bestFit="1" customWidth="1"/>
    <col min="841" max="841" width="10.28515625" bestFit="1" customWidth="1"/>
    <col min="842" max="843" width="9.28515625" bestFit="1" customWidth="1"/>
    <col min="845" max="845" width="10.28515625" bestFit="1" customWidth="1"/>
    <col min="846" max="847" width="9.28515625" bestFit="1" customWidth="1"/>
    <col min="849" max="849" width="10.28515625" bestFit="1" customWidth="1"/>
    <col min="850" max="851" width="9.28515625" bestFit="1" customWidth="1"/>
    <col min="853" max="853" width="10.28515625" bestFit="1" customWidth="1"/>
    <col min="854" max="855" width="9.28515625" bestFit="1" customWidth="1"/>
    <col min="857" max="857" width="10.28515625" bestFit="1" customWidth="1"/>
    <col min="858" max="859" width="9.28515625" bestFit="1" customWidth="1"/>
    <col min="861" max="861" width="10.28515625" bestFit="1" customWidth="1"/>
    <col min="862" max="863" width="9.28515625" bestFit="1" customWidth="1"/>
    <col min="865" max="865" width="10.28515625" bestFit="1" customWidth="1"/>
    <col min="866" max="867" width="9.28515625" bestFit="1" customWidth="1"/>
    <col min="869" max="869" width="10.28515625" bestFit="1" customWidth="1"/>
    <col min="870" max="871" width="9.28515625" bestFit="1" customWidth="1"/>
    <col min="873" max="873" width="10.28515625" bestFit="1" customWidth="1"/>
    <col min="874" max="875" width="9.28515625" bestFit="1" customWidth="1"/>
    <col min="877" max="877" width="10.28515625" bestFit="1" customWidth="1"/>
    <col min="878" max="879" width="9.28515625" bestFit="1" customWidth="1"/>
    <col min="881" max="881" width="10.28515625" bestFit="1" customWidth="1"/>
    <col min="882" max="883" width="9.28515625" bestFit="1" customWidth="1"/>
    <col min="885" max="885" width="10.28515625" bestFit="1" customWidth="1"/>
    <col min="886" max="887" width="9.28515625" bestFit="1" customWidth="1"/>
    <col min="889" max="889" width="10.28515625" bestFit="1" customWidth="1"/>
    <col min="890" max="891" width="9.28515625" bestFit="1" customWidth="1"/>
    <col min="893" max="893" width="10.28515625" bestFit="1" customWidth="1"/>
    <col min="894" max="895" width="9.28515625" bestFit="1" customWidth="1"/>
    <col min="897" max="897" width="10.28515625" bestFit="1" customWidth="1"/>
    <col min="898" max="899" width="9.28515625" bestFit="1" customWidth="1"/>
    <col min="901" max="901" width="10.28515625" bestFit="1" customWidth="1"/>
    <col min="902" max="903" width="9.28515625" bestFit="1" customWidth="1"/>
    <col min="905" max="905" width="10.28515625" bestFit="1" customWidth="1"/>
    <col min="906" max="907" width="9.28515625" bestFit="1" customWidth="1"/>
    <col min="909" max="909" width="10.28515625" bestFit="1" customWidth="1"/>
    <col min="910" max="911" width="9.28515625" bestFit="1" customWidth="1"/>
    <col min="913" max="913" width="10.28515625" bestFit="1" customWidth="1"/>
    <col min="914" max="915" width="9.28515625" bestFit="1" customWidth="1"/>
    <col min="917" max="917" width="10.28515625" bestFit="1" customWidth="1"/>
    <col min="918" max="919" width="9.28515625" bestFit="1" customWidth="1"/>
    <col min="921" max="921" width="10.28515625" bestFit="1" customWidth="1"/>
    <col min="922" max="923" width="9.28515625" bestFit="1" customWidth="1"/>
    <col min="925" max="925" width="10.28515625" bestFit="1" customWidth="1"/>
    <col min="926" max="927" width="9.28515625" bestFit="1" customWidth="1"/>
    <col min="929" max="929" width="10.28515625" bestFit="1" customWidth="1"/>
    <col min="930" max="931" width="9.28515625" bestFit="1" customWidth="1"/>
    <col min="933" max="933" width="10.28515625" bestFit="1" customWidth="1"/>
    <col min="934" max="935" width="9.28515625" bestFit="1" customWidth="1"/>
    <col min="937" max="937" width="10.28515625" bestFit="1" customWidth="1"/>
    <col min="938" max="939" width="9.28515625" bestFit="1" customWidth="1"/>
    <col min="941" max="941" width="10.28515625" bestFit="1" customWidth="1"/>
    <col min="942" max="943" width="9.28515625" bestFit="1" customWidth="1"/>
    <col min="945" max="945" width="10.28515625" bestFit="1" customWidth="1"/>
    <col min="946" max="947" width="9.28515625" bestFit="1" customWidth="1"/>
    <col min="949" max="949" width="10.28515625" bestFit="1" customWidth="1"/>
    <col min="950" max="951" width="9.28515625" bestFit="1" customWidth="1"/>
    <col min="953" max="953" width="10.28515625" bestFit="1" customWidth="1"/>
    <col min="954" max="955" width="9.28515625" bestFit="1" customWidth="1"/>
    <col min="957" max="957" width="10.28515625" bestFit="1" customWidth="1"/>
    <col min="958" max="959" width="9.28515625" bestFit="1" customWidth="1"/>
    <col min="961" max="961" width="10.28515625" bestFit="1" customWidth="1"/>
    <col min="962" max="963" width="9.28515625" bestFit="1" customWidth="1"/>
    <col min="965" max="965" width="10.28515625" bestFit="1" customWidth="1"/>
    <col min="966" max="967" width="9.28515625" bestFit="1" customWidth="1"/>
    <col min="969" max="969" width="10.28515625" bestFit="1" customWidth="1"/>
    <col min="970" max="971" width="9.28515625" bestFit="1" customWidth="1"/>
    <col min="973" max="973" width="10.28515625" bestFit="1" customWidth="1"/>
    <col min="974" max="975" width="9.28515625" bestFit="1" customWidth="1"/>
    <col min="977" max="977" width="10.28515625" bestFit="1" customWidth="1"/>
    <col min="978" max="979" width="9.28515625" bestFit="1" customWidth="1"/>
    <col min="981" max="981" width="10.28515625" bestFit="1" customWidth="1"/>
    <col min="982" max="983" width="9.28515625" bestFit="1" customWidth="1"/>
    <col min="985" max="985" width="10.28515625" bestFit="1" customWidth="1"/>
    <col min="986" max="987" width="9.28515625" bestFit="1" customWidth="1"/>
    <col min="989" max="989" width="10.28515625" bestFit="1" customWidth="1"/>
    <col min="990" max="991" width="9.28515625" bestFit="1" customWidth="1"/>
    <col min="993" max="993" width="10.28515625" bestFit="1" customWidth="1"/>
    <col min="994" max="995" width="9.28515625" bestFit="1" customWidth="1"/>
    <col min="997" max="997" width="10.28515625" bestFit="1" customWidth="1"/>
    <col min="998" max="999" width="9.28515625" bestFit="1" customWidth="1"/>
    <col min="1001" max="1001" width="10.28515625" bestFit="1" customWidth="1"/>
    <col min="1002" max="1003" width="9.28515625" bestFit="1" customWidth="1"/>
    <col min="1005" max="1005" width="10.28515625" bestFit="1" customWidth="1"/>
    <col min="1006" max="1007" width="9.28515625" bestFit="1" customWidth="1"/>
    <col min="1009" max="1009" width="10.28515625" bestFit="1" customWidth="1"/>
    <col min="1010" max="1011" width="9.28515625" bestFit="1" customWidth="1"/>
    <col min="1013" max="1013" width="10.28515625" bestFit="1" customWidth="1"/>
    <col min="1014" max="1015" width="9.28515625" bestFit="1" customWidth="1"/>
    <col min="1017" max="1017" width="10.28515625" bestFit="1" customWidth="1"/>
    <col min="1018" max="1019" width="9.28515625" bestFit="1" customWidth="1"/>
    <col min="1021" max="1021" width="10.28515625" bestFit="1" customWidth="1"/>
    <col min="1022" max="1023" width="9.28515625" bestFit="1" customWidth="1"/>
    <col min="1025" max="1025" width="10.28515625" bestFit="1" customWidth="1"/>
    <col min="1026" max="1027" width="9.28515625" bestFit="1" customWidth="1"/>
    <col min="1029" max="1029" width="10.28515625" bestFit="1" customWidth="1"/>
    <col min="1030" max="1031" width="9.28515625" bestFit="1" customWidth="1"/>
    <col min="1033" max="1033" width="10.28515625" bestFit="1" customWidth="1"/>
    <col min="1034" max="1035" width="9.28515625" bestFit="1" customWidth="1"/>
    <col min="1037" max="1037" width="10.28515625" bestFit="1" customWidth="1"/>
    <col min="1038" max="1039" width="9.28515625" bestFit="1" customWidth="1"/>
    <col min="1041" max="1041" width="10.28515625" bestFit="1" customWidth="1"/>
    <col min="1042" max="1043" width="9.28515625" bestFit="1" customWidth="1"/>
    <col min="1045" max="1045" width="10.28515625" bestFit="1" customWidth="1"/>
    <col min="1046" max="1047" width="9.28515625" bestFit="1" customWidth="1"/>
    <col min="1049" max="1049" width="10.28515625" bestFit="1" customWidth="1"/>
    <col min="1050" max="1051" width="9.28515625" bestFit="1" customWidth="1"/>
    <col min="1053" max="1053" width="10.28515625" bestFit="1" customWidth="1"/>
    <col min="1054" max="1055" width="9.28515625" bestFit="1" customWidth="1"/>
    <col min="1057" max="1057" width="10.28515625" bestFit="1" customWidth="1"/>
    <col min="1058" max="1059" width="9.28515625" bestFit="1" customWidth="1"/>
    <col min="1061" max="1061" width="10.28515625" bestFit="1" customWidth="1"/>
    <col min="1062" max="1063" width="9.28515625" bestFit="1" customWidth="1"/>
    <col min="1065" max="1065" width="10.28515625" bestFit="1" customWidth="1"/>
    <col min="1066" max="1067" width="9.28515625" bestFit="1" customWidth="1"/>
    <col min="1069" max="1069" width="10.28515625" bestFit="1" customWidth="1"/>
    <col min="1070" max="1071" width="9.28515625" bestFit="1" customWidth="1"/>
    <col min="1073" max="1073" width="10.28515625" bestFit="1" customWidth="1"/>
    <col min="1074" max="1075" width="9.28515625" bestFit="1" customWidth="1"/>
    <col min="1077" max="1077" width="10.28515625" bestFit="1" customWidth="1"/>
    <col min="1078" max="1079" width="9.28515625" bestFit="1" customWidth="1"/>
    <col min="1081" max="1081" width="10.28515625" bestFit="1" customWidth="1"/>
    <col min="1082" max="1083" width="9.28515625" bestFit="1" customWidth="1"/>
    <col min="1085" max="1085" width="10.28515625" bestFit="1" customWidth="1"/>
    <col min="1086" max="1087" width="9.28515625" bestFit="1" customWidth="1"/>
    <col min="1089" max="1089" width="10.28515625" bestFit="1" customWidth="1"/>
    <col min="1090" max="1091" width="9.28515625" bestFit="1" customWidth="1"/>
    <col min="1093" max="1093" width="10.28515625" bestFit="1" customWidth="1"/>
    <col min="1094" max="1095" width="9.28515625" bestFit="1" customWidth="1"/>
    <col min="1097" max="1097" width="10.28515625" bestFit="1" customWidth="1"/>
    <col min="1098" max="1099" width="9.28515625" bestFit="1" customWidth="1"/>
    <col min="1101" max="1101" width="10.28515625" bestFit="1" customWidth="1"/>
    <col min="1102" max="1103" width="9.28515625" bestFit="1" customWidth="1"/>
    <col min="1105" max="1105" width="10.28515625" bestFit="1" customWidth="1"/>
    <col min="1106" max="1107" width="9.28515625" bestFit="1" customWidth="1"/>
    <col min="1109" max="1109" width="10.28515625" bestFit="1" customWidth="1"/>
    <col min="1110" max="1111" width="9.28515625" bestFit="1" customWidth="1"/>
    <col min="1113" max="1113" width="10.28515625" bestFit="1" customWidth="1"/>
    <col min="1114" max="1115" width="9.28515625" bestFit="1" customWidth="1"/>
    <col min="1117" max="1117" width="10.28515625" bestFit="1" customWidth="1"/>
    <col min="1118" max="1119" width="9.28515625" bestFit="1" customWidth="1"/>
    <col min="1121" max="1121" width="10.28515625" bestFit="1" customWidth="1"/>
    <col min="1122" max="1123" width="9.28515625" bestFit="1" customWidth="1"/>
    <col min="1125" max="1125" width="10.28515625" bestFit="1" customWidth="1"/>
    <col min="1126" max="1127" width="9.28515625" bestFit="1" customWidth="1"/>
    <col min="1129" max="1129" width="10.28515625" bestFit="1" customWidth="1"/>
    <col min="1130" max="1131" width="9.28515625" bestFit="1" customWidth="1"/>
    <col min="1133" max="1133" width="10.28515625" bestFit="1" customWidth="1"/>
    <col min="1134" max="1135" width="9.28515625" bestFit="1" customWidth="1"/>
    <col min="1137" max="1137" width="10.28515625" bestFit="1" customWidth="1"/>
    <col min="1138" max="1139" width="9.28515625" bestFit="1" customWidth="1"/>
    <col min="1141" max="1141" width="10.28515625" bestFit="1" customWidth="1"/>
    <col min="1142" max="1143" width="9.28515625" bestFit="1" customWidth="1"/>
    <col min="1145" max="1145" width="10.28515625" bestFit="1" customWidth="1"/>
    <col min="1146" max="1147" width="9.28515625" bestFit="1" customWidth="1"/>
    <col min="1149" max="1149" width="10.28515625" bestFit="1" customWidth="1"/>
    <col min="1150" max="1151" width="9.28515625" bestFit="1" customWidth="1"/>
    <col min="1153" max="1153" width="10.28515625" bestFit="1" customWidth="1"/>
    <col min="1154" max="1155" width="9.28515625" bestFit="1" customWidth="1"/>
    <col min="1157" max="1157" width="10.28515625" bestFit="1" customWidth="1"/>
    <col min="1158" max="1159" width="9.28515625" bestFit="1" customWidth="1"/>
    <col min="1161" max="1161" width="10.28515625" bestFit="1" customWidth="1"/>
    <col min="1162" max="1163" width="9.28515625" bestFit="1" customWidth="1"/>
    <col min="1165" max="1165" width="10.28515625" bestFit="1" customWidth="1"/>
    <col min="1166" max="1167" width="9.28515625" bestFit="1" customWidth="1"/>
    <col min="1169" max="1169" width="10.28515625" bestFit="1" customWidth="1"/>
    <col min="1170" max="1171" width="9.28515625" bestFit="1" customWidth="1"/>
    <col min="1173" max="1173" width="10.28515625" bestFit="1" customWidth="1"/>
    <col min="1174" max="1175" width="9.28515625" bestFit="1" customWidth="1"/>
    <col min="1177" max="1177" width="10.28515625" bestFit="1" customWidth="1"/>
    <col min="1178" max="1179" width="9.28515625" bestFit="1" customWidth="1"/>
    <col min="1181" max="1181" width="10.28515625" bestFit="1" customWidth="1"/>
    <col min="1182" max="1183" width="9.28515625" bestFit="1" customWidth="1"/>
    <col min="1185" max="1185" width="10.28515625" bestFit="1" customWidth="1"/>
    <col min="1186" max="1187" width="9.28515625" bestFit="1" customWidth="1"/>
    <col min="1189" max="1189" width="10.28515625" bestFit="1" customWidth="1"/>
    <col min="1190" max="1191" width="9.28515625" bestFit="1" customWidth="1"/>
    <col min="1193" max="1193" width="10.28515625" bestFit="1" customWidth="1"/>
    <col min="1194" max="1195" width="9.28515625" bestFit="1" customWidth="1"/>
    <col min="1197" max="1197" width="10.28515625" bestFit="1" customWidth="1"/>
    <col min="1198" max="1199" width="9.28515625" bestFit="1" customWidth="1"/>
    <col min="1201" max="1201" width="10.28515625" bestFit="1" customWidth="1"/>
    <col min="1202" max="1203" width="9.28515625" bestFit="1" customWidth="1"/>
    <col min="1205" max="1205" width="10.28515625" bestFit="1" customWidth="1"/>
    <col min="1206" max="1207" width="9.28515625" bestFit="1" customWidth="1"/>
    <col min="1209" max="1209" width="10.28515625" bestFit="1" customWidth="1"/>
    <col min="1210" max="1211" width="9.28515625" bestFit="1" customWidth="1"/>
    <col min="1213" max="1213" width="10.28515625" bestFit="1" customWidth="1"/>
    <col min="1214" max="1215" width="9.28515625" bestFit="1" customWidth="1"/>
    <col min="1217" max="1217" width="10.28515625" bestFit="1" customWidth="1"/>
    <col min="1218" max="1219" width="9.28515625" bestFit="1" customWidth="1"/>
    <col min="1221" max="1221" width="10.28515625" bestFit="1" customWidth="1"/>
    <col min="1222" max="1223" width="9.28515625" bestFit="1" customWidth="1"/>
    <col min="1225" max="1225" width="10.28515625" bestFit="1" customWidth="1"/>
    <col min="1226" max="1227" width="9.28515625" bestFit="1" customWidth="1"/>
    <col min="1229" max="1229" width="10.28515625" bestFit="1" customWidth="1"/>
    <col min="1230" max="1231" width="9.28515625" bestFit="1" customWidth="1"/>
    <col min="1233" max="1233" width="10.28515625" bestFit="1" customWidth="1"/>
    <col min="1234" max="1235" width="9.28515625" bestFit="1" customWidth="1"/>
    <col min="1237" max="1237" width="10.28515625" bestFit="1" customWidth="1"/>
    <col min="1238" max="1239" width="9.28515625" bestFit="1" customWidth="1"/>
    <col min="1241" max="1241" width="10.28515625" bestFit="1" customWidth="1"/>
    <col min="1242" max="1243" width="9.28515625" bestFit="1" customWidth="1"/>
    <col min="1245" max="1245" width="10.28515625" bestFit="1" customWidth="1"/>
    <col min="1246" max="1247" width="9.28515625" bestFit="1" customWidth="1"/>
    <col min="1249" max="1249" width="10.28515625" bestFit="1" customWidth="1"/>
    <col min="1250" max="1251" width="9.28515625" bestFit="1" customWidth="1"/>
    <col min="1253" max="1253" width="10.28515625" bestFit="1" customWidth="1"/>
    <col min="1254" max="1255" width="9.28515625" bestFit="1" customWidth="1"/>
    <col min="1257" max="1257" width="10.28515625" bestFit="1" customWidth="1"/>
    <col min="1258" max="1259" width="9.28515625" bestFit="1" customWidth="1"/>
    <col min="1261" max="1261" width="10.28515625" bestFit="1" customWidth="1"/>
    <col min="1262" max="1263" width="9.28515625" bestFit="1" customWidth="1"/>
    <col min="1265" max="1265" width="10.28515625" bestFit="1" customWidth="1"/>
    <col min="1266" max="1267" width="9.28515625" bestFit="1" customWidth="1"/>
    <col min="1269" max="1269" width="10.28515625" bestFit="1" customWidth="1"/>
    <col min="1270" max="1271" width="9.28515625" bestFit="1" customWidth="1"/>
    <col min="1273" max="1273" width="10.28515625" bestFit="1" customWidth="1"/>
    <col min="1274" max="1275" width="9.28515625" bestFit="1" customWidth="1"/>
    <col min="1277" max="1277" width="10.28515625" bestFit="1" customWidth="1"/>
    <col min="1278" max="1279" width="9.28515625" bestFit="1" customWidth="1"/>
    <col min="1281" max="1281" width="10.28515625" bestFit="1" customWidth="1"/>
    <col min="1282" max="1283" width="9.28515625" bestFit="1" customWidth="1"/>
    <col min="1285" max="1285" width="10.28515625" bestFit="1" customWidth="1"/>
    <col min="1286" max="1287" width="9.28515625" bestFit="1" customWidth="1"/>
    <col min="1289" max="1289" width="10.28515625" bestFit="1" customWidth="1"/>
    <col min="1290" max="1291" width="9.28515625" bestFit="1" customWidth="1"/>
    <col min="1293" max="1293" width="10.28515625" bestFit="1" customWidth="1"/>
    <col min="1294" max="1295" width="9.28515625" bestFit="1" customWidth="1"/>
    <col min="1297" max="1297" width="10.28515625" bestFit="1" customWidth="1"/>
    <col min="1298" max="1299" width="9.28515625" bestFit="1" customWidth="1"/>
    <col min="1301" max="1301" width="10.28515625" bestFit="1" customWidth="1"/>
    <col min="1302" max="1303" width="9.28515625" bestFit="1" customWidth="1"/>
    <col min="1305" max="1305" width="10.28515625" bestFit="1" customWidth="1"/>
    <col min="1306" max="1307" width="9.28515625" bestFit="1" customWidth="1"/>
    <col min="1309" max="1309" width="10.28515625" bestFit="1" customWidth="1"/>
    <col min="1310" max="1311" width="9.28515625" bestFit="1" customWidth="1"/>
    <col min="1313" max="1313" width="10.28515625" bestFit="1" customWidth="1"/>
    <col min="1314" max="1315" width="9.28515625" bestFit="1" customWidth="1"/>
    <col min="1317" max="1317" width="10.28515625" bestFit="1" customWidth="1"/>
    <col min="1318" max="1319" width="9.28515625" bestFit="1" customWidth="1"/>
    <col min="1321" max="1321" width="10.28515625" bestFit="1" customWidth="1"/>
    <col min="1322" max="1323" width="9.28515625" bestFit="1" customWidth="1"/>
    <col min="1325" max="1325" width="10.28515625" bestFit="1" customWidth="1"/>
    <col min="1326" max="1327" width="9.28515625" bestFit="1" customWidth="1"/>
    <col min="1329" max="1329" width="10.28515625" bestFit="1" customWidth="1"/>
    <col min="1330" max="1331" width="9.28515625" bestFit="1" customWidth="1"/>
    <col min="1333" max="1333" width="10.28515625" bestFit="1" customWidth="1"/>
    <col min="1334" max="1335" width="9.28515625" bestFit="1" customWidth="1"/>
    <col min="1337" max="1337" width="10.28515625" bestFit="1" customWidth="1"/>
    <col min="1338" max="1339" width="9.28515625" bestFit="1" customWidth="1"/>
    <col min="1341" max="1341" width="10.28515625" bestFit="1" customWidth="1"/>
    <col min="1342" max="1343" width="9.28515625" bestFit="1" customWidth="1"/>
    <col min="1345" max="1345" width="10.28515625" bestFit="1" customWidth="1"/>
    <col min="1346" max="1347" width="9.28515625" bestFit="1" customWidth="1"/>
    <col min="1349" max="1349" width="10.28515625" bestFit="1" customWidth="1"/>
    <col min="1350" max="1351" width="9.28515625" bestFit="1" customWidth="1"/>
    <col min="1353" max="1353" width="10.28515625" bestFit="1" customWidth="1"/>
    <col min="1354" max="1355" width="9.28515625" bestFit="1" customWidth="1"/>
    <col min="1357" max="1357" width="10.28515625" bestFit="1" customWidth="1"/>
    <col min="1358" max="1359" width="9.28515625" bestFit="1" customWidth="1"/>
    <col min="1361" max="1361" width="10.28515625" bestFit="1" customWidth="1"/>
    <col min="1362" max="1363" width="9.28515625" bestFit="1" customWidth="1"/>
    <col min="1365" max="1365" width="10.28515625" bestFit="1" customWidth="1"/>
    <col min="1366" max="1367" width="9.28515625" bestFit="1" customWidth="1"/>
    <col min="1369" max="1369" width="10.28515625" bestFit="1" customWidth="1"/>
    <col min="1370" max="1371" width="9.28515625" bestFit="1" customWidth="1"/>
    <col min="1373" max="1373" width="10.28515625" bestFit="1" customWidth="1"/>
    <col min="1374" max="1375" width="9.28515625" bestFit="1" customWidth="1"/>
    <col min="1377" max="1377" width="10.28515625" bestFit="1" customWidth="1"/>
    <col min="1378" max="1379" width="9.28515625" bestFit="1" customWidth="1"/>
    <col min="1381" max="1381" width="10.28515625" bestFit="1" customWidth="1"/>
    <col min="1382" max="1383" width="9.28515625" bestFit="1" customWidth="1"/>
    <col min="1385" max="1385" width="10.28515625" bestFit="1" customWidth="1"/>
    <col min="1386" max="1387" width="9.28515625" bestFit="1" customWidth="1"/>
    <col min="1389" max="1389" width="10.28515625" bestFit="1" customWidth="1"/>
    <col min="1390" max="1391" width="9.28515625" bestFit="1" customWidth="1"/>
    <col min="1393" max="1393" width="10.28515625" bestFit="1" customWidth="1"/>
    <col min="1394" max="1395" width="9.28515625" bestFit="1" customWidth="1"/>
    <col min="1397" max="1397" width="10.28515625" bestFit="1" customWidth="1"/>
    <col min="1398" max="1399" width="9.28515625" bestFit="1" customWidth="1"/>
    <col min="1401" max="1401" width="10.28515625" bestFit="1" customWidth="1"/>
    <col min="1402" max="1403" width="9.28515625" bestFit="1" customWidth="1"/>
    <col min="1405" max="1405" width="10.28515625" bestFit="1" customWidth="1"/>
    <col min="1406" max="1407" width="9.28515625" bestFit="1" customWidth="1"/>
    <col min="1409" max="1409" width="10.28515625" bestFit="1" customWidth="1"/>
    <col min="1410" max="1411" width="9.28515625" bestFit="1" customWidth="1"/>
    <col min="1413" max="1413" width="10.28515625" bestFit="1" customWidth="1"/>
    <col min="1414" max="1415" width="9.28515625" bestFit="1" customWidth="1"/>
    <col min="1417" max="1417" width="10.28515625" bestFit="1" customWidth="1"/>
    <col min="1418" max="1419" width="9.28515625" bestFit="1" customWidth="1"/>
    <col min="1421" max="1421" width="10.28515625" bestFit="1" customWidth="1"/>
    <col min="1422" max="1423" width="9.28515625" bestFit="1" customWidth="1"/>
    <col min="1425" max="1425" width="10.28515625" bestFit="1" customWidth="1"/>
    <col min="1426" max="1427" width="9.28515625" bestFit="1" customWidth="1"/>
    <col min="1429" max="1429" width="10.28515625" bestFit="1" customWidth="1"/>
    <col min="1430" max="1431" width="9.28515625" bestFit="1" customWidth="1"/>
    <col min="1433" max="1433" width="10.28515625" bestFit="1" customWidth="1"/>
    <col min="1434" max="1435" width="9.28515625" bestFit="1" customWidth="1"/>
    <col min="1437" max="1437" width="10.28515625" bestFit="1" customWidth="1"/>
    <col min="1438" max="1439" width="9.28515625" bestFit="1" customWidth="1"/>
    <col min="1441" max="1441" width="10.28515625" bestFit="1" customWidth="1"/>
    <col min="1442" max="1443" width="9.28515625" bestFit="1" customWidth="1"/>
    <col min="1445" max="1445" width="10.28515625" bestFit="1" customWidth="1"/>
    <col min="1446" max="1447" width="9.28515625" bestFit="1" customWidth="1"/>
    <col min="1449" max="1449" width="10.28515625" bestFit="1" customWidth="1"/>
    <col min="1450" max="1451" width="9.28515625" bestFit="1" customWidth="1"/>
    <col min="1453" max="1453" width="10.28515625" bestFit="1" customWidth="1"/>
    <col min="1454" max="1455" width="9.28515625" bestFit="1" customWidth="1"/>
    <col min="1457" max="1457" width="10.28515625" bestFit="1" customWidth="1"/>
    <col min="1458" max="1459" width="9.28515625" bestFit="1" customWidth="1"/>
    <col min="1461" max="1461" width="10.28515625" bestFit="1" customWidth="1"/>
    <col min="1462" max="1463" width="9.28515625" bestFit="1" customWidth="1"/>
    <col min="1465" max="1465" width="10.28515625" bestFit="1" customWidth="1"/>
    <col min="1466" max="1467" width="9.28515625" bestFit="1" customWidth="1"/>
    <col min="1469" max="1469" width="10.28515625" bestFit="1" customWidth="1"/>
    <col min="1470" max="1471" width="9.28515625" bestFit="1" customWidth="1"/>
    <col min="1473" max="1473" width="10.28515625" bestFit="1" customWidth="1"/>
    <col min="1474" max="1475" width="9.28515625" bestFit="1" customWidth="1"/>
    <col min="1477" max="1477" width="10.28515625" bestFit="1" customWidth="1"/>
    <col min="1478" max="1479" width="9.28515625" bestFit="1" customWidth="1"/>
    <col min="1481" max="1481" width="10.28515625" bestFit="1" customWidth="1"/>
    <col min="1482" max="1483" width="9.28515625" bestFit="1" customWidth="1"/>
    <col min="1485" max="1485" width="10.28515625" bestFit="1" customWidth="1"/>
    <col min="1486" max="1487" width="9.28515625" bestFit="1" customWidth="1"/>
    <col min="1489" max="1489" width="10.28515625" bestFit="1" customWidth="1"/>
    <col min="1490" max="1491" width="9.28515625" bestFit="1" customWidth="1"/>
    <col min="1493" max="1493" width="10.28515625" bestFit="1" customWidth="1"/>
    <col min="1494" max="1495" width="9.28515625" bestFit="1" customWidth="1"/>
    <col min="1497" max="1497" width="10.28515625" bestFit="1" customWidth="1"/>
    <col min="1498" max="1499" width="9.28515625" bestFit="1" customWidth="1"/>
    <col min="1501" max="1501" width="10.28515625" bestFit="1" customWidth="1"/>
    <col min="1502" max="1503" width="9.28515625" bestFit="1" customWidth="1"/>
    <col min="1505" max="1505" width="10.28515625" bestFit="1" customWidth="1"/>
    <col min="1506" max="1507" width="9.28515625" bestFit="1" customWidth="1"/>
    <col min="1509" max="1509" width="10.28515625" bestFit="1" customWidth="1"/>
    <col min="1510" max="1511" width="9.28515625" bestFit="1" customWidth="1"/>
    <col min="1513" max="1513" width="10.28515625" bestFit="1" customWidth="1"/>
    <col min="1514" max="1515" width="9.28515625" bestFit="1" customWidth="1"/>
    <col min="1517" max="1517" width="10.28515625" bestFit="1" customWidth="1"/>
    <col min="1518" max="1519" width="9.28515625" bestFit="1" customWidth="1"/>
    <col min="1521" max="1521" width="10.28515625" bestFit="1" customWidth="1"/>
    <col min="1522" max="1523" width="9.28515625" bestFit="1" customWidth="1"/>
    <col min="1525" max="1525" width="10.28515625" bestFit="1" customWidth="1"/>
    <col min="1526" max="1527" width="9.28515625" bestFit="1" customWidth="1"/>
    <col min="1529" max="1529" width="10.28515625" bestFit="1" customWidth="1"/>
    <col min="1530" max="1531" width="9.28515625" bestFit="1" customWidth="1"/>
    <col min="1533" max="1533" width="10.28515625" bestFit="1" customWidth="1"/>
    <col min="1534" max="1535" width="9.28515625" bestFit="1" customWidth="1"/>
    <col min="1537" max="1537" width="10.28515625" bestFit="1" customWidth="1"/>
    <col min="1538" max="1539" width="9.28515625" bestFit="1" customWidth="1"/>
    <col min="1541" max="1541" width="10.28515625" bestFit="1" customWidth="1"/>
    <col min="1542" max="1543" width="9.28515625" bestFit="1" customWidth="1"/>
    <col min="1545" max="1545" width="10.28515625" bestFit="1" customWidth="1"/>
    <col min="1546" max="1547" width="9.28515625" bestFit="1" customWidth="1"/>
    <col min="1549" max="1549" width="10.28515625" bestFit="1" customWidth="1"/>
    <col min="1550" max="1551" width="9.28515625" bestFit="1" customWidth="1"/>
    <col min="1553" max="1553" width="10.28515625" bestFit="1" customWidth="1"/>
    <col min="1554" max="1555" width="9.28515625" bestFit="1" customWidth="1"/>
    <col min="1557" max="1557" width="10.28515625" bestFit="1" customWidth="1"/>
    <col min="1558" max="1559" width="9.28515625" bestFit="1" customWidth="1"/>
    <col min="1561" max="1561" width="10.28515625" bestFit="1" customWidth="1"/>
    <col min="1562" max="1563" width="9.28515625" bestFit="1" customWidth="1"/>
    <col min="1565" max="1565" width="10.28515625" bestFit="1" customWidth="1"/>
    <col min="1566" max="1567" width="9.28515625" bestFit="1" customWidth="1"/>
    <col min="1569" max="1569" width="10.28515625" bestFit="1" customWidth="1"/>
    <col min="1570" max="1571" width="9.28515625" bestFit="1" customWidth="1"/>
    <col min="1573" max="1573" width="10.28515625" bestFit="1" customWidth="1"/>
    <col min="1574" max="1575" width="9.28515625" bestFit="1" customWidth="1"/>
    <col min="1577" max="1577" width="10.28515625" bestFit="1" customWidth="1"/>
    <col min="1578" max="1579" width="9.28515625" bestFit="1" customWidth="1"/>
    <col min="1581" max="1581" width="10.28515625" bestFit="1" customWidth="1"/>
    <col min="1582" max="1583" width="9.28515625" bestFit="1" customWidth="1"/>
    <col min="1585" max="1585" width="10.28515625" bestFit="1" customWidth="1"/>
    <col min="1586" max="1587" width="9.28515625" bestFit="1" customWidth="1"/>
    <col min="1589" max="1589" width="10.28515625" bestFit="1" customWidth="1"/>
    <col min="1590" max="1591" width="9.28515625" bestFit="1" customWidth="1"/>
    <col min="1593" max="1593" width="10.28515625" bestFit="1" customWidth="1"/>
    <col min="1594" max="1595" width="9.28515625" bestFit="1" customWidth="1"/>
    <col min="1597" max="1597" width="10.28515625" bestFit="1" customWidth="1"/>
    <col min="1598" max="1599" width="9.28515625" bestFit="1" customWidth="1"/>
    <col min="1601" max="1601" width="10.28515625" bestFit="1" customWidth="1"/>
    <col min="1602" max="1603" width="9.28515625" bestFit="1" customWidth="1"/>
    <col min="1605" max="1605" width="10.28515625" bestFit="1" customWidth="1"/>
    <col min="1606" max="1607" width="9.28515625" bestFit="1" customWidth="1"/>
    <col min="1609" max="1609" width="10.28515625" bestFit="1" customWidth="1"/>
    <col min="1610" max="1611" width="9.28515625" bestFit="1" customWidth="1"/>
    <col min="1613" max="1613" width="10.28515625" bestFit="1" customWidth="1"/>
    <col min="1614" max="1615" width="9.28515625" bestFit="1" customWidth="1"/>
    <col min="1617" max="1617" width="10.28515625" bestFit="1" customWidth="1"/>
    <col min="1618" max="1619" width="9.28515625" bestFit="1" customWidth="1"/>
    <col min="1621" max="1621" width="10.28515625" bestFit="1" customWidth="1"/>
    <col min="1622" max="1623" width="9.28515625" bestFit="1" customWidth="1"/>
    <col min="1625" max="1625" width="10.28515625" bestFit="1" customWidth="1"/>
    <col min="1626" max="1627" width="9.28515625" bestFit="1" customWidth="1"/>
    <col min="1629" max="1629" width="10.28515625" bestFit="1" customWidth="1"/>
    <col min="1630" max="1631" width="9.28515625" bestFit="1" customWidth="1"/>
    <col min="1633" max="1633" width="10.28515625" bestFit="1" customWidth="1"/>
    <col min="1634" max="1635" width="9.28515625" bestFit="1" customWidth="1"/>
    <col min="1637" max="1637" width="10.28515625" bestFit="1" customWidth="1"/>
    <col min="1638" max="1639" width="9.28515625" bestFit="1" customWidth="1"/>
    <col min="1641" max="1641" width="10.28515625" bestFit="1" customWidth="1"/>
    <col min="1642" max="1643" width="9.28515625" bestFit="1" customWidth="1"/>
    <col min="1645" max="1645" width="10.28515625" bestFit="1" customWidth="1"/>
    <col min="1646" max="1647" width="9.28515625" bestFit="1" customWidth="1"/>
    <col min="1649" max="1649" width="10.28515625" bestFit="1" customWidth="1"/>
    <col min="1650" max="1651" width="9.28515625" bestFit="1" customWidth="1"/>
    <col min="1653" max="1653" width="10.28515625" bestFit="1" customWidth="1"/>
    <col min="1654" max="1655" width="9.28515625" bestFit="1" customWidth="1"/>
    <col min="1657" max="1657" width="10.28515625" bestFit="1" customWidth="1"/>
    <col min="1658" max="1659" width="9.28515625" bestFit="1" customWidth="1"/>
    <col min="1661" max="1661" width="10.28515625" bestFit="1" customWidth="1"/>
    <col min="1662" max="1663" width="9.28515625" bestFit="1" customWidth="1"/>
    <col min="1665" max="1665" width="10.28515625" bestFit="1" customWidth="1"/>
    <col min="1666" max="1667" width="9.28515625" bestFit="1" customWidth="1"/>
    <col min="1669" max="1669" width="10.28515625" bestFit="1" customWidth="1"/>
    <col min="1670" max="1671" width="9.28515625" bestFit="1" customWidth="1"/>
    <col min="1673" max="1673" width="10.28515625" bestFit="1" customWidth="1"/>
    <col min="1674" max="1675" width="9.28515625" bestFit="1" customWidth="1"/>
    <col min="1677" max="1677" width="10.28515625" bestFit="1" customWidth="1"/>
    <col min="1678" max="1679" width="9.28515625" bestFit="1" customWidth="1"/>
    <col min="1681" max="1681" width="10.28515625" bestFit="1" customWidth="1"/>
    <col min="1682" max="1683" width="9.28515625" bestFit="1" customWidth="1"/>
    <col min="1685" max="1685" width="10.28515625" bestFit="1" customWidth="1"/>
    <col min="1686" max="1687" width="9.28515625" bestFit="1" customWidth="1"/>
    <col min="1689" max="1689" width="10.28515625" bestFit="1" customWidth="1"/>
    <col min="1690" max="1691" width="9.28515625" bestFit="1" customWidth="1"/>
    <col min="1693" max="1693" width="10.28515625" bestFit="1" customWidth="1"/>
    <col min="1694" max="1695" width="9.28515625" bestFit="1" customWidth="1"/>
    <col min="1697" max="1697" width="10.28515625" bestFit="1" customWidth="1"/>
    <col min="1698" max="1699" width="9.28515625" bestFit="1" customWidth="1"/>
    <col min="1701" max="1701" width="10.28515625" bestFit="1" customWidth="1"/>
    <col min="1702" max="1703" width="9.28515625" bestFit="1" customWidth="1"/>
    <col min="1705" max="1705" width="10.28515625" bestFit="1" customWidth="1"/>
    <col min="1706" max="1707" width="9.28515625" bestFit="1" customWidth="1"/>
    <col min="1709" max="1709" width="10.28515625" bestFit="1" customWidth="1"/>
    <col min="1710" max="1711" width="9.28515625" bestFit="1" customWidth="1"/>
    <col min="1713" max="1713" width="10.28515625" bestFit="1" customWidth="1"/>
    <col min="1714" max="1715" width="9.28515625" bestFit="1" customWidth="1"/>
    <col min="1717" max="1717" width="10.28515625" bestFit="1" customWidth="1"/>
    <col min="1718" max="1719" width="9.28515625" bestFit="1" customWidth="1"/>
    <col min="1721" max="1721" width="10.28515625" bestFit="1" customWidth="1"/>
    <col min="1722" max="1723" width="9.28515625" bestFit="1" customWidth="1"/>
    <col min="1725" max="1725" width="10.28515625" bestFit="1" customWidth="1"/>
    <col min="1726" max="1727" width="9.28515625" bestFit="1" customWidth="1"/>
    <col min="1729" max="1729" width="10.28515625" bestFit="1" customWidth="1"/>
    <col min="1730" max="1731" width="9.28515625" bestFit="1" customWidth="1"/>
    <col min="1733" max="1733" width="10.28515625" bestFit="1" customWidth="1"/>
    <col min="1734" max="1735" width="9.28515625" bestFit="1" customWidth="1"/>
    <col min="1737" max="1737" width="10.28515625" bestFit="1" customWidth="1"/>
    <col min="1738" max="1739" width="9.28515625" bestFit="1" customWidth="1"/>
    <col min="1741" max="1741" width="10.28515625" bestFit="1" customWidth="1"/>
    <col min="1742" max="1743" width="9.28515625" bestFit="1" customWidth="1"/>
    <col min="1745" max="1745" width="10.28515625" bestFit="1" customWidth="1"/>
    <col min="1746" max="1747" width="9.28515625" bestFit="1" customWidth="1"/>
    <col min="1749" max="1749" width="10.28515625" bestFit="1" customWidth="1"/>
    <col min="1750" max="1751" width="9.28515625" bestFit="1" customWidth="1"/>
    <col min="1753" max="1753" width="10.28515625" bestFit="1" customWidth="1"/>
    <col min="1754" max="1755" width="9.28515625" bestFit="1" customWidth="1"/>
    <col min="1757" max="1757" width="10.28515625" bestFit="1" customWidth="1"/>
    <col min="1758" max="1759" width="9.28515625" bestFit="1" customWidth="1"/>
    <col min="1761" max="1761" width="10.28515625" bestFit="1" customWidth="1"/>
    <col min="1762" max="1763" width="9.28515625" bestFit="1" customWidth="1"/>
    <col min="1765" max="1765" width="10.28515625" bestFit="1" customWidth="1"/>
    <col min="1766" max="1767" width="9.28515625" bestFit="1" customWidth="1"/>
    <col min="1769" max="1769" width="10.28515625" bestFit="1" customWidth="1"/>
    <col min="1770" max="1771" width="9.28515625" bestFit="1" customWidth="1"/>
    <col min="1773" max="1773" width="10.28515625" bestFit="1" customWidth="1"/>
    <col min="1774" max="1775" width="9.28515625" bestFit="1" customWidth="1"/>
    <col min="1777" max="1777" width="10.28515625" bestFit="1" customWidth="1"/>
    <col min="1778" max="1779" width="9.28515625" bestFit="1" customWidth="1"/>
    <col min="1781" max="1781" width="10.28515625" bestFit="1" customWidth="1"/>
    <col min="1782" max="1783" width="9.28515625" bestFit="1" customWidth="1"/>
    <col min="1785" max="1785" width="10.28515625" bestFit="1" customWidth="1"/>
    <col min="1786" max="1787" width="9.28515625" bestFit="1" customWidth="1"/>
    <col min="1789" max="1789" width="10.28515625" bestFit="1" customWidth="1"/>
    <col min="1790" max="1791" width="9.28515625" bestFit="1" customWidth="1"/>
    <col min="1793" max="1793" width="10.28515625" bestFit="1" customWidth="1"/>
    <col min="1794" max="1795" width="9.28515625" bestFit="1" customWidth="1"/>
    <col min="1797" max="1797" width="10.28515625" bestFit="1" customWidth="1"/>
    <col min="1798" max="1799" width="9.28515625" bestFit="1" customWidth="1"/>
    <col min="1801" max="1801" width="10.28515625" bestFit="1" customWidth="1"/>
    <col min="1802" max="1803" width="9.28515625" bestFit="1" customWidth="1"/>
    <col min="1805" max="1805" width="10.28515625" bestFit="1" customWidth="1"/>
    <col min="1806" max="1807" width="9.28515625" bestFit="1" customWidth="1"/>
    <col min="1809" max="1809" width="10.28515625" bestFit="1" customWidth="1"/>
    <col min="1810" max="1811" width="9.28515625" bestFit="1" customWidth="1"/>
    <col min="1813" max="1813" width="10.28515625" bestFit="1" customWidth="1"/>
    <col min="1814" max="1815" width="9.28515625" bestFit="1" customWidth="1"/>
    <col min="1817" max="1817" width="10.28515625" bestFit="1" customWidth="1"/>
    <col min="1818" max="1819" width="9.28515625" bestFit="1" customWidth="1"/>
    <col min="1821" max="1821" width="10.28515625" bestFit="1" customWidth="1"/>
    <col min="1822" max="1823" width="9.28515625" bestFit="1" customWidth="1"/>
    <col min="1825" max="1825" width="10.28515625" bestFit="1" customWidth="1"/>
    <col min="1826" max="1827" width="9.28515625" bestFit="1" customWidth="1"/>
    <col min="1829" max="1829" width="10.28515625" bestFit="1" customWidth="1"/>
    <col min="1830" max="1831" width="9.28515625" bestFit="1" customWidth="1"/>
    <col min="1833" max="1833" width="10.28515625" bestFit="1" customWidth="1"/>
    <col min="1834" max="1835" width="9.28515625" bestFit="1" customWidth="1"/>
    <col min="1837" max="1837" width="10.28515625" bestFit="1" customWidth="1"/>
    <col min="1838" max="1839" width="9.28515625" bestFit="1" customWidth="1"/>
    <col min="1841" max="1841" width="10.28515625" bestFit="1" customWidth="1"/>
    <col min="1842" max="1843" width="9.28515625" bestFit="1" customWidth="1"/>
    <col min="1845" max="1845" width="10.28515625" bestFit="1" customWidth="1"/>
    <col min="1846" max="1847" width="9.28515625" bestFit="1" customWidth="1"/>
    <col min="1849" max="1849" width="10.28515625" bestFit="1" customWidth="1"/>
    <col min="1850" max="1851" width="9.28515625" bestFit="1" customWidth="1"/>
    <col min="1853" max="1853" width="10.28515625" bestFit="1" customWidth="1"/>
    <col min="1854" max="1855" width="9.28515625" bestFit="1" customWidth="1"/>
    <col min="1857" max="1857" width="10.28515625" bestFit="1" customWidth="1"/>
    <col min="1858" max="1859" width="9.28515625" bestFit="1" customWidth="1"/>
    <col min="1861" max="1861" width="10.28515625" bestFit="1" customWidth="1"/>
    <col min="1862" max="1863" width="9.28515625" bestFit="1" customWidth="1"/>
    <col min="1865" max="1865" width="10.28515625" bestFit="1" customWidth="1"/>
    <col min="1866" max="1867" width="9.28515625" bestFit="1" customWidth="1"/>
    <col min="1869" max="1869" width="10.28515625" bestFit="1" customWidth="1"/>
    <col min="1870" max="1871" width="9.28515625" bestFit="1" customWidth="1"/>
    <col min="1873" max="1873" width="10.28515625" bestFit="1" customWidth="1"/>
    <col min="1874" max="1875" width="9.28515625" bestFit="1" customWidth="1"/>
    <col min="1877" max="1877" width="10.28515625" bestFit="1" customWidth="1"/>
    <col min="1878" max="1879" width="9.28515625" bestFit="1" customWidth="1"/>
    <col min="1881" max="1881" width="10.28515625" bestFit="1" customWidth="1"/>
    <col min="1882" max="1883" width="9.28515625" bestFit="1" customWidth="1"/>
    <col min="1885" max="1885" width="10.28515625" bestFit="1" customWidth="1"/>
    <col min="1886" max="1887" width="9.28515625" bestFit="1" customWidth="1"/>
    <col min="1889" max="1889" width="10.28515625" bestFit="1" customWidth="1"/>
    <col min="1890" max="1891" width="9.28515625" bestFit="1" customWidth="1"/>
    <col min="1893" max="1893" width="10.28515625" bestFit="1" customWidth="1"/>
    <col min="1894" max="1895" width="9.28515625" bestFit="1" customWidth="1"/>
    <col min="1897" max="1897" width="10.28515625" bestFit="1" customWidth="1"/>
    <col min="1898" max="1899" width="9.28515625" bestFit="1" customWidth="1"/>
    <col min="1901" max="1901" width="10.28515625" bestFit="1" customWidth="1"/>
    <col min="1902" max="1903" width="9.28515625" bestFit="1" customWidth="1"/>
    <col min="1905" max="1905" width="10.28515625" bestFit="1" customWidth="1"/>
    <col min="1906" max="1907" width="9.28515625" bestFit="1" customWidth="1"/>
    <col min="1909" max="1909" width="10.28515625" bestFit="1" customWidth="1"/>
    <col min="1910" max="1911" width="9.28515625" bestFit="1" customWidth="1"/>
    <col min="1913" max="1913" width="10.28515625" bestFit="1" customWidth="1"/>
    <col min="1914" max="1915" width="9.28515625" bestFit="1" customWidth="1"/>
    <col min="1917" max="1917" width="10.28515625" bestFit="1" customWidth="1"/>
    <col min="1918" max="1919" width="9.28515625" bestFit="1" customWidth="1"/>
    <col min="1921" max="1921" width="10.28515625" bestFit="1" customWidth="1"/>
    <col min="1922" max="1923" width="9.28515625" bestFit="1" customWidth="1"/>
    <col min="1925" max="1925" width="10.28515625" bestFit="1" customWidth="1"/>
    <col min="1926" max="1927" width="9.28515625" bestFit="1" customWidth="1"/>
    <col min="1929" max="1929" width="10.28515625" bestFit="1" customWidth="1"/>
    <col min="1930" max="1931" width="9.28515625" bestFit="1" customWidth="1"/>
    <col min="1933" max="1933" width="10.28515625" bestFit="1" customWidth="1"/>
    <col min="1934" max="1935" width="9.28515625" bestFit="1" customWidth="1"/>
    <col min="1937" max="1937" width="10.28515625" bestFit="1" customWidth="1"/>
    <col min="1938" max="1939" width="9.28515625" bestFit="1" customWidth="1"/>
    <col min="1941" max="1941" width="10.28515625" bestFit="1" customWidth="1"/>
    <col min="1942" max="1943" width="9.28515625" bestFit="1" customWidth="1"/>
    <col min="1945" max="1945" width="10.28515625" bestFit="1" customWidth="1"/>
    <col min="1946" max="1947" width="9.28515625" bestFit="1" customWidth="1"/>
    <col min="1949" max="1949" width="10.28515625" bestFit="1" customWidth="1"/>
    <col min="1950" max="1951" width="9.28515625" bestFit="1" customWidth="1"/>
    <col min="1953" max="1953" width="10.28515625" bestFit="1" customWidth="1"/>
    <col min="1954" max="1955" width="9.28515625" bestFit="1" customWidth="1"/>
    <col min="1957" max="1957" width="10.28515625" bestFit="1" customWidth="1"/>
    <col min="1958" max="1959" width="9.28515625" bestFit="1" customWidth="1"/>
    <col min="1961" max="1961" width="10.28515625" bestFit="1" customWidth="1"/>
    <col min="1962" max="1963" width="9.28515625" bestFit="1" customWidth="1"/>
    <col min="1965" max="1965" width="10.28515625" bestFit="1" customWidth="1"/>
    <col min="1966" max="1967" width="9.28515625" bestFit="1" customWidth="1"/>
    <col min="1969" max="1969" width="10.28515625" bestFit="1" customWidth="1"/>
    <col min="1970" max="1971" width="9.28515625" bestFit="1" customWidth="1"/>
    <col min="1973" max="1973" width="10.28515625" bestFit="1" customWidth="1"/>
    <col min="1974" max="1975" width="9.28515625" bestFit="1" customWidth="1"/>
    <col min="1977" max="1977" width="10.28515625" bestFit="1" customWidth="1"/>
    <col min="1978" max="1979" width="9.28515625" bestFit="1" customWidth="1"/>
    <col min="1981" max="1981" width="10.28515625" bestFit="1" customWidth="1"/>
    <col min="1982" max="1983" width="9.28515625" bestFit="1" customWidth="1"/>
    <col min="1985" max="1985" width="10.28515625" bestFit="1" customWidth="1"/>
    <col min="1986" max="1987" width="9.28515625" bestFit="1" customWidth="1"/>
    <col min="1989" max="1989" width="10.28515625" bestFit="1" customWidth="1"/>
    <col min="1990" max="1991" width="9.28515625" bestFit="1" customWidth="1"/>
    <col min="1993" max="1993" width="10.28515625" bestFit="1" customWidth="1"/>
    <col min="1994" max="1995" width="9.28515625" bestFit="1" customWidth="1"/>
    <col min="1997" max="1997" width="10.28515625" bestFit="1" customWidth="1"/>
    <col min="1998" max="1999" width="9.28515625" bestFit="1" customWidth="1"/>
    <col min="2001" max="2001" width="10.28515625" bestFit="1" customWidth="1"/>
    <col min="2002" max="2003" width="9.28515625" bestFit="1" customWidth="1"/>
    <col min="2005" max="2005" width="10.28515625" bestFit="1" customWidth="1"/>
    <col min="2006" max="2007" width="9.28515625" bestFit="1" customWidth="1"/>
    <col min="2009" max="2009" width="10.28515625" bestFit="1" customWidth="1"/>
    <col min="2010" max="2011" width="9.28515625" bestFit="1" customWidth="1"/>
    <col min="2013" max="2013" width="10.28515625" bestFit="1" customWidth="1"/>
    <col min="2014" max="2015" width="9.28515625" bestFit="1" customWidth="1"/>
    <col min="2017" max="2017" width="10.28515625" bestFit="1" customWidth="1"/>
    <col min="2018" max="2019" width="9.28515625" bestFit="1" customWidth="1"/>
    <col min="2021" max="2021" width="10.28515625" bestFit="1" customWidth="1"/>
    <col min="2022" max="2023" width="9.28515625" bestFit="1" customWidth="1"/>
    <col min="2025" max="2025" width="10.28515625" bestFit="1" customWidth="1"/>
    <col min="2026" max="2027" width="9.28515625" bestFit="1" customWidth="1"/>
    <col min="2029" max="2029" width="10.28515625" bestFit="1" customWidth="1"/>
    <col min="2030" max="2031" width="9.28515625" bestFit="1" customWidth="1"/>
    <col min="2033" max="2033" width="10.28515625" bestFit="1" customWidth="1"/>
    <col min="2034" max="2035" width="9.28515625" bestFit="1" customWidth="1"/>
    <col min="2037" max="2037" width="10.28515625" bestFit="1" customWidth="1"/>
    <col min="2038" max="2039" width="9.28515625" bestFit="1" customWidth="1"/>
    <col min="2041" max="2041" width="10.28515625" bestFit="1" customWidth="1"/>
    <col min="2042" max="2043" width="9.28515625" bestFit="1" customWidth="1"/>
    <col min="2045" max="2045" width="10.28515625" bestFit="1" customWidth="1"/>
    <col min="2046" max="2047" width="9.28515625" bestFit="1" customWidth="1"/>
    <col min="2049" max="2049" width="10.28515625" bestFit="1" customWidth="1"/>
    <col min="2050" max="2051" width="9.28515625" bestFit="1" customWidth="1"/>
    <col min="2053" max="2053" width="10.28515625" bestFit="1" customWidth="1"/>
    <col min="2054" max="2055" width="9.28515625" bestFit="1" customWidth="1"/>
    <col min="2057" max="2057" width="10.28515625" bestFit="1" customWidth="1"/>
    <col min="2058" max="2059" width="9.28515625" bestFit="1" customWidth="1"/>
    <col min="2061" max="2061" width="10.28515625" bestFit="1" customWidth="1"/>
    <col min="2062" max="2063" width="9.28515625" bestFit="1" customWidth="1"/>
    <col min="2065" max="2065" width="10.28515625" bestFit="1" customWidth="1"/>
    <col min="2066" max="2067" width="9.28515625" bestFit="1" customWidth="1"/>
    <col min="2069" max="2069" width="10.28515625" bestFit="1" customWidth="1"/>
    <col min="2070" max="2071" width="9.28515625" bestFit="1" customWidth="1"/>
    <col min="2073" max="2073" width="10.28515625" bestFit="1" customWidth="1"/>
    <col min="2074" max="2075" width="9.28515625" bestFit="1" customWidth="1"/>
    <col min="2077" max="2077" width="10.28515625" bestFit="1" customWidth="1"/>
    <col min="2078" max="2079" width="9.28515625" bestFit="1" customWidth="1"/>
    <col min="2081" max="2081" width="10.28515625" bestFit="1" customWidth="1"/>
    <col min="2082" max="2083" width="9.28515625" bestFit="1" customWidth="1"/>
    <col min="2085" max="2085" width="10.28515625" bestFit="1" customWidth="1"/>
    <col min="2086" max="2087" width="9.28515625" bestFit="1" customWidth="1"/>
    <col min="2089" max="2089" width="10.28515625" bestFit="1" customWidth="1"/>
    <col min="2090" max="2091" width="9.28515625" bestFit="1" customWidth="1"/>
    <col min="2093" max="2093" width="10.28515625" bestFit="1" customWidth="1"/>
    <col min="2094" max="2095" width="9.28515625" bestFit="1" customWidth="1"/>
    <col min="2097" max="2097" width="10.28515625" bestFit="1" customWidth="1"/>
    <col min="2098" max="2099" width="9.28515625" bestFit="1" customWidth="1"/>
    <col min="2101" max="2101" width="10.28515625" bestFit="1" customWidth="1"/>
    <col min="2102" max="2103" width="9.28515625" bestFit="1" customWidth="1"/>
    <col min="2105" max="2105" width="10.28515625" bestFit="1" customWidth="1"/>
    <col min="2106" max="2107" width="9.28515625" bestFit="1" customWidth="1"/>
    <col min="2109" max="2109" width="10.28515625" bestFit="1" customWidth="1"/>
    <col min="2110" max="2111" width="9.28515625" bestFit="1" customWidth="1"/>
    <col min="2113" max="2113" width="10.28515625" bestFit="1" customWidth="1"/>
    <col min="2114" max="2115" width="9.28515625" bestFit="1" customWidth="1"/>
    <col min="2117" max="2117" width="10.28515625" bestFit="1" customWidth="1"/>
    <col min="2118" max="2119" width="9.28515625" bestFit="1" customWidth="1"/>
    <col min="2121" max="2121" width="10.28515625" bestFit="1" customWidth="1"/>
    <col min="2122" max="2123" width="9.28515625" bestFit="1" customWidth="1"/>
    <col min="2125" max="2125" width="10.28515625" bestFit="1" customWidth="1"/>
    <col min="2126" max="2127" width="9.28515625" bestFit="1" customWidth="1"/>
    <col min="2129" max="2129" width="10.28515625" bestFit="1" customWidth="1"/>
    <col min="2130" max="2131" width="9.28515625" bestFit="1" customWidth="1"/>
    <col min="2133" max="2133" width="10.28515625" bestFit="1" customWidth="1"/>
    <col min="2134" max="2135" width="9.28515625" bestFit="1" customWidth="1"/>
    <col min="2137" max="2137" width="10.28515625" bestFit="1" customWidth="1"/>
    <col min="2138" max="2139" width="9.28515625" bestFit="1" customWidth="1"/>
    <col min="2141" max="2141" width="10.28515625" bestFit="1" customWidth="1"/>
    <col min="2142" max="2143" width="9.28515625" bestFit="1" customWidth="1"/>
    <col min="2145" max="2145" width="10.28515625" bestFit="1" customWidth="1"/>
    <col min="2146" max="2147" width="9.28515625" bestFit="1" customWidth="1"/>
    <col min="2149" max="2149" width="10.28515625" bestFit="1" customWidth="1"/>
    <col min="2150" max="2151" width="9.28515625" bestFit="1" customWidth="1"/>
    <col min="2153" max="2153" width="10.28515625" bestFit="1" customWidth="1"/>
    <col min="2154" max="2155" width="9.28515625" bestFit="1" customWidth="1"/>
    <col min="2157" max="2157" width="10.28515625" bestFit="1" customWidth="1"/>
    <col min="2158" max="2159" width="9.28515625" bestFit="1" customWidth="1"/>
    <col min="2161" max="2161" width="10.28515625" bestFit="1" customWidth="1"/>
    <col min="2162" max="2163" width="9.28515625" bestFit="1" customWidth="1"/>
    <col min="2165" max="2165" width="10.28515625" bestFit="1" customWidth="1"/>
    <col min="2166" max="2167" width="9.28515625" bestFit="1" customWidth="1"/>
    <col min="2169" max="2169" width="10.28515625" bestFit="1" customWidth="1"/>
    <col min="2170" max="2171" width="9.28515625" bestFit="1" customWidth="1"/>
    <col min="2173" max="2173" width="10.28515625" bestFit="1" customWidth="1"/>
    <col min="2174" max="2175" width="9.28515625" bestFit="1" customWidth="1"/>
    <col min="2177" max="2177" width="10.28515625" bestFit="1" customWidth="1"/>
    <col min="2178" max="2179" width="9.28515625" bestFit="1" customWidth="1"/>
    <col min="2181" max="2181" width="10.28515625" bestFit="1" customWidth="1"/>
    <col min="2182" max="2183" width="9.28515625" bestFit="1" customWidth="1"/>
    <col min="2185" max="2185" width="10.28515625" bestFit="1" customWidth="1"/>
    <col min="2186" max="2187" width="9.28515625" bestFit="1" customWidth="1"/>
    <col min="2189" max="2189" width="10.28515625" bestFit="1" customWidth="1"/>
    <col min="2190" max="2191" width="9.28515625" bestFit="1" customWidth="1"/>
    <col min="2193" max="2193" width="10.28515625" bestFit="1" customWidth="1"/>
    <col min="2194" max="2195" width="9.28515625" bestFit="1" customWidth="1"/>
    <col min="2197" max="2197" width="10.28515625" bestFit="1" customWidth="1"/>
    <col min="2198" max="2199" width="9.28515625" bestFit="1" customWidth="1"/>
    <col min="2201" max="2201" width="10.28515625" bestFit="1" customWidth="1"/>
    <col min="2202" max="2203" width="9.28515625" bestFit="1" customWidth="1"/>
    <col min="2205" max="2205" width="10.28515625" bestFit="1" customWidth="1"/>
    <col min="2206" max="2207" width="9.28515625" bestFit="1" customWidth="1"/>
    <col min="2209" max="2209" width="10.28515625" bestFit="1" customWidth="1"/>
    <col min="2210" max="2211" width="9.28515625" bestFit="1" customWidth="1"/>
    <col min="2213" max="2213" width="10.28515625" bestFit="1" customWidth="1"/>
    <col min="2214" max="2215" width="9.28515625" bestFit="1" customWidth="1"/>
    <col min="2217" max="2217" width="10.28515625" bestFit="1" customWidth="1"/>
    <col min="2218" max="2219" width="9.28515625" bestFit="1" customWidth="1"/>
    <col min="2221" max="2221" width="10.28515625" bestFit="1" customWidth="1"/>
    <col min="2222" max="2223" width="9.28515625" bestFit="1" customWidth="1"/>
    <col min="2225" max="2225" width="10.28515625" bestFit="1" customWidth="1"/>
    <col min="2226" max="2227" width="9.28515625" bestFit="1" customWidth="1"/>
    <col min="2229" max="2229" width="10.28515625" bestFit="1" customWidth="1"/>
    <col min="2230" max="2231" width="9.28515625" bestFit="1" customWidth="1"/>
    <col min="2233" max="2233" width="10.28515625" bestFit="1" customWidth="1"/>
    <col min="2234" max="2235" width="9.28515625" bestFit="1" customWidth="1"/>
    <col min="2237" max="2237" width="10.28515625" bestFit="1" customWidth="1"/>
    <col min="2238" max="2239" width="9.28515625" bestFit="1" customWidth="1"/>
    <col min="2241" max="2241" width="10.28515625" bestFit="1" customWidth="1"/>
    <col min="2242" max="2243" width="9.28515625" bestFit="1" customWidth="1"/>
    <col min="2245" max="2245" width="10.28515625" bestFit="1" customWidth="1"/>
    <col min="2246" max="2247" width="9.28515625" bestFit="1" customWidth="1"/>
    <col min="2249" max="2249" width="10.28515625" bestFit="1" customWidth="1"/>
    <col min="2250" max="2251" width="9.28515625" bestFit="1" customWidth="1"/>
    <col min="2253" max="2253" width="10.28515625" bestFit="1" customWidth="1"/>
    <col min="2254" max="2255" width="9.28515625" bestFit="1" customWidth="1"/>
    <col min="2257" max="2257" width="10.28515625" bestFit="1" customWidth="1"/>
    <col min="2258" max="2259" width="9.28515625" bestFit="1" customWidth="1"/>
    <col min="2261" max="2261" width="10.28515625" bestFit="1" customWidth="1"/>
    <col min="2262" max="2263" width="9.28515625" bestFit="1" customWidth="1"/>
    <col min="2265" max="2265" width="10.28515625" bestFit="1" customWidth="1"/>
    <col min="2266" max="2267" width="9.28515625" bestFit="1" customWidth="1"/>
    <col min="2269" max="2269" width="10.28515625" bestFit="1" customWidth="1"/>
    <col min="2270" max="2271" width="9.28515625" bestFit="1" customWidth="1"/>
    <col min="2273" max="2273" width="10.28515625" bestFit="1" customWidth="1"/>
    <col min="2274" max="2275" width="9.28515625" bestFit="1" customWidth="1"/>
    <col min="2277" max="2277" width="10.28515625" bestFit="1" customWidth="1"/>
    <col min="2278" max="2279" width="9.28515625" bestFit="1" customWidth="1"/>
    <col min="2281" max="2281" width="10.28515625" bestFit="1" customWidth="1"/>
    <col min="2282" max="2283" width="9.28515625" bestFit="1" customWidth="1"/>
    <col min="2285" max="2285" width="10.28515625" bestFit="1" customWidth="1"/>
    <col min="2286" max="2287" width="9.28515625" bestFit="1" customWidth="1"/>
    <col min="2289" max="2289" width="10.28515625" bestFit="1" customWidth="1"/>
    <col min="2290" max="2291" width="9.28515625" bestFit="1" customWidth="1"/>
    <col min="2293" max="2293" width="10.28515625" bestFit="1" customWidth="1"/>
    <col min="2294" max="2295" width="9.28515625" bestFit="1" customWidth="1"/>
    <col min="2297" max="2297" width="10.28515625" bestFit="1" customWidth="1"/>
    <col min="2298" max="2299" width="9.28515625" bestFit="1" customWidth="1"/>
    <col min="2301" max="2301" width="10.28515625" bestFit="1" customWidth="1"/>
    <col min="2302" max="2303" width="9.28515625" bestFit="1" customWidth="1"/>
    <col min="2305" max="2305" width="10.28515625" bestFit="1" customWidth="1"/>
    <col min="2306" max="2307" width="9.28515625" bestFit="1" customWidth="1"/>
    <col min="2309" max="2309" width="10.28515625" bestFit="1" customWidth="1"/>
    <col min="2310" max="2311" width="9.28515625" bestFit="1" customWidth="1"/>
    <col min="2313" max="2313" width="10.28515625" bestFit="1" customWidth="1"/>
    <col min="2314" max="2315" width="9.28515625" bestFit="1" customWidth="1"/>
    <col min="2317" max="2317" width="10.28515625" bestFit="1" customWidth="1"/>
    <col min="2318" max="2319" width="9.28515625" bestFit="1" customWidth="1"/>
    <col min="2321" max="2321" width="10.28515625" bestFit="1" customWidth="1"/>
    <col min="2322" max="2323" width="9.28515625" bestFit="1" customWidth="1"/>
    <col min="2325" max="2325" width="10.28515625" bestFit="1" customWidth="1"/>
    <col min="2326" max="2327" width="9.28515625" bestFit="1" customWidth="1"/>
    <col min="2329" max="2329" width="10.28515625" bestFit="1" customWidth="1"/>
    <col min="2330" max="2331" width="9.28515625" bestFit="1" customWidth="1"/>
    <col min="2333" max="2333" width="10.28515625" bestFit="1" customWidth="1"/>
    <col min="2334" max="2335" width="9.28515625" bestFit="1" customWidth="1"/>
    <col min="2337" max="2337" width="10.28515625" bestFit="1" customWidth="1"/>
    <col min="2338" max="2339" width="9.28515625" bestFit="1" customWidth="1"/>
    <col min="2341" max="2341" width="10.28515625" bestFit="1" customWidth="1"/>
    <col min="2342" max="2343" width="9.28515625" bestFit="1" customWidth="1"/>
    <col min="2345" max="2345" width="10.28515625" bestFit="1" customWidth="1"/>
    <col min="2346" max="2347" width="9.28515625" bestFit="1" customWidth="1"/>
    <col min="2349" max="2349" width="10.28515625" bestFit="1" customWidth="1"/>
    <col min="2350" max="2351" width="9.28515625" bestFit="1" customWidth="1"/>
    <col min="2353" max="2353" width="10.28515625" bestFit="1" customWidth="1"/>
    <col min="2354" max="2355" width="9.28515625" bestFit="1" customWidth="1"/>
    <col min="2357" max="2357" width="10.28515625" bestFit="1" customWidth="1"/>
    <col min="2358" max="2359" width="9.28515625" bestFit="1" customWidth="1"/>
    <col min="2361" max="2361" width="10.28515625" bestFit="1" customWidth="1"/>
    <col min="2362" max="2363" width="9.28515625" bestFit="1" customWidth="1"/>
    <col min="2365" max="2365" width="10.28515625" bestFit="1" customWidth="1"/>
    <col min="2366" max="2367" width="9.28515625" bestFit="1" customWidth="1"/>
    <col min="2369" max="2369" width="10.28515625" bestFit="1" customWidth="1"/>
    <col min="2370" max="2371" width="9.28515625" bestFit="1" customWidth="1"/>
    <col min="2373" max="2373" width="10.28515625" bestFit="1" customWidth="1"/>
    <col min="2374" max="2375" width="9.28515625" bestFit="1" customWidth="1"/>
    <col min="2377" max="2377" width="10.28515625" bestFit="1" customWidth="1"/>
    <col min="2378" max="2379" width="9.28515625" bestFit="1" customWidth="1"/>
    <col min="2381" max="2381" width="10.28515625" bestFit="1" customWidth="1"/>
    <col min="2382" max="2383" width="9.28515625" bestFit="1" customWidth="1"/>
    <col min="2385" max="2385" width="10.28515625" bestFit="1" customWidth="1"/>
    <col min="2386" max="2387" width="9.28515625" bestFit="1" customWidth="1"/>
    <col min="2389" max="2389" width="10.28515625" bestFit="1" customWidth="1"/>
    <col min="2390" max="2391" width="9.28515625" bestFit="1" customWidth="1"/>
    <col min="2393" max="2393" width="10.28515625" bestFit="1" customWidth="1"/>
    <col min="2394" max="2395" width="9.28515625" bestFit="1" customWidth="1"/>
    <col min="2397" max="2397" width="10.28515625" bestFit="1" customWidth="1"/>
    <col min="2398" max="2399" width="9.28515625" bestFit="1" customWidth="1"/>
    <col min="2401" max="2401" width="10.28515625" bestFit="1" customWidth="1"/>
    <col min="2402" max="2403" width="9.28515625" bestFit="1" customWidth="1"/>
    <col min="2405" max="2405" width="10.28515625" bestFit="1" customWidth="1"/>
    <col min="2406" max="2407" width="9.28515625" bestFit="1" customWidth="1"/>
    <col min="2409" max="2409" width="10.28515625" bestFit="1" customWidth="1"/>
    <col min="2410" max="2411" width="9.28515625" bestFit="1" customWidth="1"/>
    <col min="2413" max="2413" width="10.28515625" bestFit="1" customWidth="1"/>
    <col min="2414" max="2415" width="9.28515625" bestFit="1" customWidth="1"/>
    <col min="2417" max="2417" width="10.28515625" bestFit="1" customWidth="1"/>
    <col min="2418" max="2419" width="9.28515625" bestFit="1" customWidth="1"/>
    <col min="2421" max="2421" width="10.28515625" bestFit="1" customWidth="1"/>
    <col min="2422" max="2423" width="9.28515625" bestFit="1" customWidth="1"/>
    <col min="2425" max="2425" width="10.28515625" bestFit="1" customWidth="1"/>
    <col min="2426" max="2427" width="9.28515625" bestFit="1" customWidth="1"/>
    <col min="2429" max="2429" width="10.28515625" bestFit="1" customWidth="1"/>
    <col min="2430" max="2431" width="9.28515625" bestFit="1" customWidth="1"/>
    <col min="2433" max="2433" width="10.28515625" bestFit="1" customWidth="1"/>
    <col min="2434" max="2435" width="9.28515625" bestFit="1" customWidth="1"/>
    <col min="2437" max="2437" width="10.28515625" bestFit="1" customWidth="1"/>
    <col min="2438" max="2439" width="9.28515625" bestFit="1" customWidth="1"/>
    <col min="2441" max="2441" width="10.28515625" bestFit="1" customWidth="1"/>
    <col min="2442" max="2443" width="9.28515625" bestFit="1" customWidth="1"/>
    <col min="2445" max="2445" width="10.28515625" bestFit="1" customWidth="1"/>
    <col min="2446" max="2447" width="9.28515625" bestFit="1" customWidth="1"/>
    <col min="2449" max="2449" width="10.28515625" bestFit="1" customWidth="1"/>
    <col min="2450" max="2451" width="9.28515625" bestFit="1" customWidth="1"/>
    <col min="2453" max="2453" width="10.28515625" bestFit="1" customWidth="1"/>
    <col min="2454" max="2455" width="9.28515625" bestFit="1" customWidth="1"/>
    <col min="2457" max="2457" width="10.28515625" bestFit="1" customWidth="1"/>
    <col min="2458" max="2459" width="9.28515625" bestFit="1" customWidth="1"/>
    <col min="2461" max="2461" width="10.28515625" bestFit="1" customWidth="1"/>
    <col min="2462" max="2463" width="9.28515625" bestFit="1" customWidth="1"/>
    <col min="2465" max="2465" width="10.28515625" bestFit="1" customWidth="1"/>
    <col min="2466" max="2467" width="9.28515625" bestFit="1" customWidth="1"/>
    <col min="2469" max="2469" width="10.28515625" bestFit="1" customWidth="1"/>
    <col min="2470" max="2471" width="9.28515625" bestFit="1" customWidth="1"/>
    <col min="2473" max="2473" width="10.28515625" bestFit="1" customWidth="1"/>
    <col min="2474" max="2475" width="9.28515625" bestFit="1" customWidth="1"/>
    <col min="2477" max="2477" width="10.28515625" bestFit="1" customWidth="1"/>
    <col min="2478" max="2479" width="9.28515625" bestFit="1" customWidth="1"/>
    <col min="2481" max="2481" width="10.28515625" bestFit="1" customWidth="1"/>
    <col min="2482" max="2483" width="9.28515625" bestFit="1" customWidth="1"/>
    <col min="2485" max="2485" width="10.28515625" bestFit="1" customWidth="1"/>
    <col min="2486" max="2487" width="9.28515625" bestFit="1" customWidth="1"/>
    <col min="2489" max="2489" width="10.28515625" bestFit="1" customWidth="1"/>
    <col min="2490" max="2491" width="9.28515625" bestFit="1" customWidth="1"/>
    <col min="2493" max="2493" width="10.28515625" bestFit="1" customWidth="1"/>
    <col min="2494" max="2495" width="9.28515625" bestFit="1" customWidth="1"/>
    <col min="2497" max="2497" width="10.28515625" bestFit="1" customWidth="1"/>
    <col min="2498" max="2499" width="9.28515625" bestFit="1" customWidth="1"/>
    <col min="2501" max="2501" width="10.28515625" bestFit="1" customWidth="1"/>
    <col min="2502" max="2503" width="9.28515625" bestFit="1" customWidth="1"/>
    <col min="2505" max="2505" width="10.28515625" bestFit="1" customWidth="1"/>
    <col min="2506" max="2507" width="9.28515625" bestFit="1" customWidth="1"/>
    <col min="2509" max="2509" width="10.28515625" bestFit="1" customWidth="1"/>
    <col min="2510" max="2511" width="9.28515625" bestFit="1" customWidth="1"/>
    <col min="2513" max="2513" width="10.28515625" bestFit="1" customWidth="1"/>
    <col min="2514" max="2515" width="9.28515625" bestFit="1" customWidth="1"/>
    <col min="2517" max="2517" width="10.28515625" bestFit="1" customWidth="1"/>
    <col min="2518" max="2519" width="9.28515625" bestFit="1" customWidth="1"/>
    <col min="2521" max="2521" width="10.28515625" bestFit="1" customWidth="1"/>
    <col min="2522" max="2523" width="9.28515625" bestFit="1" customWidth="1"/>
    <col min="2525" max="2525" width="10.28515625" bestFit="1" customWidth="1"/>
    <col min="2526" max="2527" width="9.28515625" bestFit="1" customWidth="1"/>
    <col min="2529" max="2529" width="10.28515625" bestFit="1" customWidth="1"/>
    <col min="2530" max="2531" width="9.28515625" bestFit="1" customWidth="1"/>
    <col min="2533" max="2533" width="10.28515625" bestFit="1" customWidth="1"/>
    <col min="2534" max="2535" width="9.28515625" bestFit="1" customWidth="1"/>
    <col min="2537" max="2537" width="10.28515625" bestFit="1" customWidth="1"/>
    <col min="2538" max="2539" width="9.28515625" bestFit="1" customWidth="1"/>
    <col min="2541" max="2541" width="10.28515625" bestFit="1" customWidth="1"/>
    <col min="2542" max="2543" width="9.28515625" bestFit="1" customWidth="1"/>
    <col min="2545" max="2545" width="10.28515625" bestFit="1" customWidth="1"/>
    <col min="2546" max="2547" width="9.28515625" bestFit="1" customWidth="1"/>
    <col min="2549" max="2549" width="10.28515625" bestFit="1" customWidth="1"/>
    <col min="2550" max="2551" width="9.28515625" bestFit="1" customWidth="1"/>
    <col min="2553" max="2553" width="10.28515625" bestFit="1" customWidth="1"/>
    <col min="2554" max="2555" width="9.28515625" bestFit="1" customWidth="1"/>
    <col min="2557" max="2557" width="10.28515625" bestFit="1" customWidth="1"/>
    <col min="2558" max="2559" width="9.28515625" bestFit="1" customWidth="1"/>
    <col min="2561" max="2561" width="10.28515625" bestFit="1" customWidth="1"/>
    <col min="2562" max="2563" width="9.28515625" bestFit="1" customWidth="1"/>
    <col min="2565" max="2565" width="10.28515625" bestFit="1" customWidth="1"/>
    <col min="2566" max="2567" width="9.28515625" bestFit="1" customWidth="1"/>
    <col min="2569" max="2569" width="10.28515625" bestFit="1" customWidth="1"/>
    <col min="2570" max="2571" width="9.28515625" bestFit="1" customWidth="1"/>
    <col min="2573" max="2573" width="10.28515625" bestFit="1" customWidth="1"/>
    <col min="2574" max="2575" width="9.28515625" bestFit="1" customWidth="1"/>
    <col min="2577" max="2577" width="10.28515625" bestFit="1" customWidth="1"/>
    <col min="2578" max="2579" width="9.28515625" bestFit="1" customWidth="1"/>
    <col min="2581" max="2581" width="10.28515625" bestFit="1" customWidth="1"/>
    <col min="2582" max="2583" width="9.28515625" bestFit="1" customWidth="1"/>
    <col min="2585" max="2585" width="10.28515625" bestFit="1" customWidth="1"/>
    <col min="2586" max="2587" width="9.28515625" bestFit="1" customWidth="1"/>
    <col min="2589" max="2589" width="10.28515625" bestFit="1" customWidth="1"/>
    <col min="2590" max="2591" width="9.28515625" bestFit="1" customWidth="1"/>
    <col min="2593" max="2593" width="10.28515625" bestFit="1" customWidth="1"/>
    <col min="2594" max="2595" width="9.28515625" bestFit="1" customWidth="1"/>
    <col min="2597" max="2597" width="10.28515625" bestFit="1" customWidth="1"/>
    <col min="2598" max="2599" width="9.28515625" bestFit="1" customWidth="1"/>
    <col min="2601" max="2601" width="10.28515625" bestFit="1" customWidth="1"/>
    <col min="2602" max="2603" width="9.28515625" bestFit="1" customWidth="1"/>
    <col min="2605" max="2605" width="10.28515625" bestFit="1" customWidth="1"/>
    <col min="2606" max="2607" width="9.28515625" bestFit="1" customWidth="1"/>
    <col min="2609" max="2609" width="10.28515625" bestFit="1" customWidth="1"/>
    <col min="2610" max="2611" width="9.28515625" bestFit="1" customWidth="1"/>
    <col min="2613" max="2613" width="10.28515625" bestFit="1" customWidth="1"/>
    <col min="2614" max="2615" width="9.28515625" bestFit="1" customWidth="1"/>
    <col min="2617" max="2617" width="10.28515625" bestFit="1" customWidth="1"/>
    <col min="2618" max="2619" width="9.28515625" bestFit="1" customWidth="1"/>
    <col min="2621" max="2621" width="10.28515625" bestFit="1" customWidth="1"/>
    <col min="2622" max="2623" width="9.28515625" bestFit="1" customWidth="1"/>
    <col min="2625" max="2625" width="10.28515625" bestFit="1" customWidth="1"/>
    <col min="2626" max="2627" width="9.28515625" bestFit="1" customWidth="1"/>
    <col min="2629" max="2629" width="10.28515625" bestFit="1" customWidth="1"/>
    <col min="2630" max="2631" width="9.28515625" bestFit="1" customWidth="1"/>
    <col min="2633" max="2633" width="10.28515625" bestFit="1" customWidth="1"/>
    <col min="2634" max="2635" width="9.28515625" bestFit="1" customWidth="1"/>
    <col min="2637" max="2637" width="10.28515625" bestFit="1" customWidth="1"/>
    <col min="2638" max="2639" width="9.28515625" bestFit="1" customWidth="1"/>
    <col min="2641" max="2641" width="10.28515625" bestFit="1" customWidth="1"/>
    <col min="2642" max="2643" width="9.28515625" bestFit="1" customWidth="1"/>
    <col min="2645" max="2645" width="10.28515625" bestFit="1" customWidth="1"/>
    <col min="2646" max="2647" width="9.28515625" bestFit="1" customWidth="1"/>
    <col min="2649" max="2649" width="10.28515625" bestFit="1" customWidth="1"/>
    <col min="2650" max="2651" width="9.28515625" bestFit="1" customWidth="1"/>
    <col min="2653" max="2653" width="10.28515625" bestFit="1" customWidth="1"/>
    <col min="2654" max="2655" width="9.28515625" bestFit="1" customWidth="1"/>
    <col min="2657" max="2657" width="10.28515625" bestFit="1" customWidth="1"/>
    <col min="2658" max="2659" width="9.28515625" bestFit="1" customWidth="1"/>
    <col min="2661" max="2661" width="10.28515625" bestFit="1" customWidth="1"/>
    <col min="2662" max="2663" width="9.28515625" bestFit="1" customWidth="1"/>
    <col min="2665" max="2665" width="10.28515625" bestFit="1" customWidth="1"/>
    <col min="2666" max="2667" width="9.28515625" bestFit="1" customWidth="1"/>
    <col min="2669" max="2669" width="10.28515625" bestFit="1" customWidth="1"/>
    <col min="2670" max="2671" width="9.28515625" bestFit="1" customWidth="1"/>
    <col min="2673" max="2673" width="10.28515625" bestFit="1" customWidth="1"/>
    <col min="2674" max="2675" width="9.28515625" bestFit="1" customWidth="1"/>
    <col min="2677" max="2677" width="10.28515625" bestFit="1" customWidth="1"/>
    <col min="2678" max="2679" width="9.28515625" bestFit="1" customWidth="1"/>
    <col min="2681" max="2681" width="10.28515625" bestFit="1" customWidth="1"/>
    <col min="2682" max="2683" width="9.28515625" bestFit="1" customWidth="1"/>
    <col min="2685" max="2685" width="10.28515625" bestFit="1" customWidth="1"/>
    <col min="2686" max="2687" width="9.28515625" bestFit="1" customWidth="1"/>
    <col min="2689" max="2689" width="10.28515625" bestFit="1" customWidth="1"/>
    <col min="2690" max="2691" width="9.28515625" bestFit="1" customWidth="1"/>
    <col min="2693" max="2693" width="10.28515625" bestFit="1" customWidth="1"/>
    <col min="2694" max="2695" width="9.28515625" bestFit="1" customWidth="1"/>
    <col min="2697" max="2697" width="10.28515625" bestFit="1" customWidth="1"/>
    <col min="2698" max="2699" width="9.28515625" bestFit="1" customWidth="1"/>
    <col min="2701" max="2701" width="10.28515625" bestFit="1" customWidth="1"/>
    <col min="2702" max="2703" width="9.28515625" bestFit="1" customWidth="1"/>
    <col min="2705" max="2705" width="10.28515625" bestFit="1" customWidth="1"/>
    <col min="2706" max="2707" width="9.28515625" bestFit="1" customWidth="1"/>
    <col min="2709" max="2709" width="10.28515625" bestFit="1" customWidth="1"/>
    <col min="2710" max="2711" width="9.28515625" bestFit="1" customWidth="1"/>
    <col min="2713" max="2713" width="10.28515625" bestFit="1" customWidth="1"/>
    <col min="2714" max="2715" width="9.28515625" bestFit="1" customWidth="1"/>
    <col min="2717" max="2717" width="10.28515625" bestFit="1" customWidth="1"/>
    <col min="2718" max="2719" width="9.28515625" bestFit="1" customWidth="1"/>
    <col min="2721" max="2721" width="10.28515625" bestFit="1" customWidth="1"/>
    <col min="2722" max="2723" width="9.28515625" bestFit="1" customWidth="1"/>
    <col min="2725" max="2725" width="10.28515625" bestFit="1" customWidth="1"/>
    <col min="2726" max="2727" width="9.28515625" bestFit="1" customWidth="1"/>
    <col min="2729" max="2729" width="10.28515625" bestFit="1" customWidth="1"/>
    <col min="2730" max="2731" width="9.28515625" bestFit="1" customWidth="1"/>
    <col min="2733" max="2733" width="10.28515625" bestFit="1" customWidth="1"/>
    <col min="2734" max="2735" width="9.28515625" bestFit="1" customWidth="1"/>
    <col min="2737" max="2737" width="10.28515625" bestFit="1" customWidth="1"/>
    <col min="2738" max="2739" width="9.28515625" bestFit="1" customWidth="1"/>
    <col min="2741" max="2741" width="10.28515625" bestFit="1" customWidth="1"/>
    <col min="2742" max="2743" width="9.28515625" bestFit="1" customWidth="1"/>
    <col min="2745" max="2745" width="10.28515625" bestFit="1" customWidth="1"/>
    <col min="2746" max="2747" width="9.28515625" bestFit="1" customWidth="1"/>
    <col min="2749" max="2749" width="10.28515625" bestFit="1" customWidth="1"/>
    <col min="2750" max="2751" width="9.28515625" bestFit="1" customWidth="1"/>
    <col min="2753" max="2753" width="10.28515625" bestFit="1" customWidth="1"/>
    <col min="2754" max="2755" width="9.28515625" bestFit="1" customWidth="1"/>
    <col min="2757" max="2757" width="10.28515625" bestFit="1" customWidth="1"/>
    <col min="2758" max="2759" width="9.28515625" bestFit="1" customWidth="1"/>
    <col min="2761" max="2761" width="10.28515625" bestFit="1" customWidth="1"/>
    <col min="2762" max="2763" width="9.28515625" bestFit="1" customWidth="1"/>
    <col min="2765" max="2765" width="10.28515625" bestFit="1" customWidth="1"/>
    <col min="2766" max="2767" width="9.28515625" bestFit="1" customWidth="1"/>
    <col min="2769" max="2769" width="10.28515625" bestFit="1" customWidth="1"/>
    <col min="2770" max="2771" width="9.28515625" bestFit="1" customWidth="1"/>
    <col min="2773" max="2773" width="10.28515625" bestFit="1" customWidth="1"/>
    <col min="2774" max="2775" width="9.28515625" bestFit="1" customWidth="1"/>
    <col min="2777" max="2777" width="10.28515625" bestFit="1" customWidth="1"/>
    <col min="2778" max="2779" width="9.28515625" bestFit="1" customWidth="1"/>
    <col min="2781" max="2781" width="10.28515625" bestFit="1" customWidth="1"/>
    <col min="2782" max="2783" width="9.28515625" bestFit="1" customWidth="1"/>
    <col min="2785" max="2785" width="10.28515625" bestFit="1" customWidth="1"/>
    <col min="2786" max="2787" width="9.28515625" bestFit="1" customWidth="1"/>
    <col min="2789" max="2789" width="10.28515625" bestFit="1" customWidth="1"/>
    <col min="2790" max="2791" width="9.28515625" bestFit="1" customWidth="1"/>
    <col min="2793" max="2793" width="10.28515625" bestFit="1" customWidth="1"/>
    <col min="2794" max="2795" width="9.28515625" bestFit="1" customWidth="1"/>
    <col min="2797" max="2797" width="10.28515625" bestFit="1" customWidth="1"/>
    <col min="2798" max="2799" width="9.28515625" bestFit="1" customWidth="1"/>
    <col min="2801" max="2801" width="10.28515625" bestFit="1" customWidth="1"/>
    <col min="2802" max="2803" width="9.28515625" bestFit="1" customWidth="1"/>
    <col min="2805" max="2805" width="10.28515625" bestFit="1" customWidth="1"/>
    <col min="2806" max="2807" width="9.28515625" bestFit="1" customWidth="1"/>
    <col min="2809" max="2809" width="10.28515625" bestFit="1" customWidth="1"/>
    <col min="2810" max="2811" width="9.28515625" bestFit="1" customWidth="1"/>
    <col min="2813" max="2813" width="10.28515625" bestFit="1" customWidth="1"/>
    <col min="2814" max="2815" width="9.28515625" bestFit="1" customWidth="1"/>
    <col min="2817" max="2817" width="10.28515625" bestFit="1" customWidth="1"/>
    <col min="2818" max="2819" width="9.28515625" bestFit="1" customWidth="1"/>
    <col min="2821" max="2821" width="10.28515625" bestFit="1" customWidth="1"/>
    <col min="2822" max="2823" width="9.28515625" bestFit="1" customWidth="1"/>
    <col min="2825" max="2825" width="10.28515625" bestFit="1" customWidth="1"/>
    <col min="2826" max="2827" width="9.28515625" bestFit="1" customWidth="1"/>
    <col min="2829" max="2829" width="10.28515625" bestFit="1" customWidth="1"/>
    <col min="2830" max="2831" width="9.28515625" bestFit="1" customWidth="1"/>
    <col min="2833" max="2833" width="10.28515625" bestFit="1" customWidth="1"/>
    <col min="2834" max="2835" width="9.28515625" bestFit="1" customWidth="1"/>
    <col min="2837" max="2837" width="10.28515625" bestFit="1" customWidth="1"/>
    <col min="2838" max="2839" width="9.28515625" bestFit="1" customWidth="1"/>
    <col min="2841" max="2841" width="10.28515625" bestFit="1" customWidth="1"/>
    <col min="2842" max="2843" width="9.28515625" bestFit="1" customWidth="1"/>
    <col min="2845" max="2845" width="10.28515625" bestFit="1" customWidth="1"/>
    <col min="2846" max="2847" width="9.28515625" bestFit="1" customWidth="1"/>
    <col min="2849" max="2849" width="10.28515625" bestFit="1" customWidth="1"/>
    <col min="2850" max="2851" width="9.28515625" bestFit="1" customWidth="1"/>
    <col min="2853" max="2853" width="10.28515625" bestFit="1" customWidth="1"/>
    <col min="2854" max="2855" width="9.28515625" bestFit="1" customWidth="1"/>
    <col min="2857" max="2857" width="10.28515625" bestFit="1" customWidth="1"/>
    <col min="2858" max="2859" width="9.28515625" bestFit="1" customWidth="1"/>
    <col min="2861" max="2861" width="10.28515625" bestFit="1" customWidth="1"/>
    <col min="2862" max="2863" width="9.28515625" bestFit="1" customWidth="1"/>
    <col min="2865" max="2865" width="10.28515625" bestFit="1" customWidth="1"/>
    <col min="2866" max="2867" width="9.28515625" bestFit="1" customWidth="1"/>
    <col min="2869" max="2869" width="10.28515625" bestFit="1" customWidth="1"/>
    <col min="2870" max="2871" width="9.28515625" bestFit="1" customWidth="1"/>
    <col min="2873" max="2873" width="10.28515625" bestFit="1" customWidth="1"/>
    <col min="2874" max="2875" width="9.28515625" bestFit="1" customWidth="1"/>
    <col min="2877" max="2877" width="10.28515625" bestFit="1" customWidth="1"/>
    <col min="2878" max="2879" width="9.28515625" bestFit="1" customWidth="1"/>
    <col min="2881" max="2881" width="10.28515625" bestFit="1" customWidth="1"/>
    <col min="2882" max="2883" width="9.28515625" bestFit="1" customWidth="1"/>
    <col min="2885" max="2885" width="10.28515625" bestFit="1" customWidth="1"/>
    <col min="2886" max="2887" width="9.28515625" bestFit="1" customWidth="1"/>
    <col min="2889" max="2889" width="10.28515625" bestFit="1" customWidth="1"/>
    <col min="2890" max="2891" width="9.28515625" bestFit="1" customWidth="1"/>
    <col min="2893" max="2893" width="10.28515625" bestFit="1" customWidth="1"/>
    <col min="2894" max="2895" width="9.28515625" bestFit="1" customWidth="1"/>
    <col min="2897" max="2897" width="10.28515625" bestFit="1" customWidth="1"/>
    <col min="2898" max="2899" width="9.28515625" bestFit="1" customWidth="1"/>
    <col min="2901" max="2901" width="10.28515625" bestFit="1" customWidth="1"/>
    <col min="2902" max="2903" width="9.28515625" bestFit="1" customWidth="1"/>
    <col min="2905" max="2905" width="10.28515625" bestFit="1" customWidth="1"/>
    <col min="2906" max="2907" width="9.28515625" bestFit="1" customWidth="1"/>
    <col min="2909" max="2909" width="10.28515625" bestFit="1" customWidth="1"/>
    <col min="2910" max="2911" width="9.28515625" bestFit="1" customWidth="1"/>
    <col min="2913" max="2913" width="10.28515625" bestFit="1" customWidth="1"/>
    <col min="2914" max="2915" width="9.28515625" bestFit="1" customWidth="1"/>
    <col min="2917" max="2917" width="10.28515625" bestFit="1" customWidth="1"/>
    <col min="2918" max="2919" width="9.28515625" bestFit="1" customWidth="1"/>
    <col min="2921" max="2921" width="10.28515625" bestFit="1" customWidth="1"/>
    <col min="2922" max="2923" width="9.28515625" bestFit="1" customWidth="1"/>
    <col min="2925" max="2925" width="10.28515625" bestFit="1" customWidth="1"/>
    <col min="2926" max="2927" width="9.28515625" bestFit="1" customWidth="1"/>
    <col min="2929" max="2929" width="10.28515625" bestFit="1" customWidth="1"/>
    <col min="2930" max="2931" width="9.28515625" bestFit="1" customWidth="1"/>
    <col min="2933" max="2933" width="10.28515625" bestFit="1" customWidth="1"/>
    <col min="2934" max="2935" width="9.28515625" bestFit="1" customWidth="1"/>
    <col min="2937" max="2937" width="10.28515625" bestFit="1" customWidth="1"/>
    <col min="2938" max="2939" width="9.28515625" bestFit="1" customWidth="1"/>
    <col min="2941" max="2941" width="10.28515625" bestFit="1" customWidth="1"/>
    <col min="2942" max="2943" width="9.28515625" bestFit="1" customWidth="1"/>
    <col min="2945" max="2945" width="10.28515625" bestFit="1" customWidth="1"/>
    <col min="2946" max="2947" width="9.28515625" bestFit="1" customWidth="1"/>
    <col min="2949" max="2949" width="10.28515625" bestFit="1" customWidth="1"/>
    <col min="2950" max="2951" width="9.28515625" bestFit="1" customWidth="1"/>
    <col min="2953" max="2953" width="10.28515625" bestFit="1" customWidth="1"/>
    <col min="2954" max="2955" width="9.28515625" bestFit="1" customWidth="1"/>
    <col min="2957" max="2957" width="10.28515625" bestFit="1" customWidth="1"/>
    <col min="2958" max="2959" width="9.28515625" bestFit="1" customWidth="1"/>
    <col min="2961" max="2961" width="10.28515625" bestFit="1" customWidth="1"/>
    <col min="2962" max="2963" width="9.28515625" bestFit="1" customWidth="1"/>
    <col min="2965" max="2965" width="10.28515625" bestFit="1" customWidth="1"/>
    <col min="2966" max="2967" width="9.28515625" bestFit="1" customWidth="1"/>
    <col min="2969" max="2969" width="10.28515625" bestFit="1" customWidth="1"/>
    <col min="2970" max="2971" width="9.28515625" bestFit="1" customWidth="1"/>
    <col min="2973" max="2973" width="10.28515625" bestFit="1" customWidth="1"/>
    <col min="2974" max="2975" width="9.28515625" bestFit="1" customWidth="1"/>
    <col min="2977" max="2977" width="10.28515625" bestFit="1" customWidth="1"/>
    <col min="2978" max="2979" width="9.28515625" bestFit="1" customWidth="1"/>
    <col min="2981" max="2981" width="10.28515625" bestFit="1" customWidth="1"/>
    <col min="2982" max="2983" width="9.28515625" bestFit="1" customWidth="1"/>
    <col min="2985" max="2985" width="10.28515625" bestFit="1" customWidth="1"/>
    <col min="2986" max="2987" width="9.28515625" bestFit="1" customWidth="1"/>
    <col min="2989" max="2989" width="10.28515625" bestFit="1" customWidth="1"/>
    <col min="2990" max="2991" width="9.28515625" bestFit="1" customWidth="1"/>
    <col min="2993" max="2993" width="10.28515625" bestFit="1" customWidth="1"/>
    <col min="2994" max="2995" width="9.28515625" bestFit="1" customWidth="1"/>
    <col min="2997" max="2997" width="10.28515625" bestFit="1" customWidth="1"/>
    <col min="2998" max="2999" width="9.28515625" bestFit="1" customWidth="1"/>
    <col min="3001" max="3001" width="10.28515625" bestFit="1" customWidth="1"/>
    <col min="3002" max="3003" width="9.28515625" bestFit="1" customWidth="1"/>
    <col min="3005" max="3005" width="10.28515625" bestFit="1" customWidth="1"/>
    <col min="3006" max="3007" width="9.28515625" bestFit="1" customWidth="1"/>
    <col min="3009" max="3009" width="10.28515625" bestFit="1" customWidth="1"/>
    <col min="3010" max="3011" width="9.28515625" bestFit="1" customWidth="1"/>
    <col min="3013" max="3013" width="10.28515625" bestFit="1" customWidth="1"/>
    <col min="3014" max="3015" width="9.28515625" bestFit="1" customWidth="1"/>
    <col min="3017" max="3017" width="10.28515625" bestFit="1" customWidth="1"/>
    <col min="3018" max="3019" width="9.28515625" bestFit="1" customWidth="1"/>
    <col min="3021" max="3021" width="10.28515625" bestFit="1" customWidth="1"/>
    <col min="3022" max="3023" width="9.28515625" bestFit="1" customWidth="1"/>
    <col min="3025" max="3025" width="10.28515625" bestFit="1" customWidth="1"/>
    <col min="3026" max="3027" width="9.28515625" bestFit="1" customWidth="1"/>
    <col min="3029" max="3029" width="10.28515625" bestFit="1" customWidth="1"/>
    <col min="3030" max="3031" width="9.28515625" bestFit="1" customWidth="1"/>
    <col min="3033" max="3033" width="10.28515625" bestFit="1" customWidth="1"/>
    <col min="3034" max="3035" width="9.28515625" bestFit="1" customWidth="1"/>
    <col min="3037" max="3037" width="10.28515625" bestFit="1" customWidth="1"/>
    <col min="3038" max="3039" width="9.28515625" bestFit="1" customWidth="1"/>
    <col min="3041" max="3041" width="10.28515625" bestFit="1" customWidth="1"/>
    <col min="3042" max="3043" width="9.28515625" bestFit="1" customWidth="1"/>
    <col min="3045" max="3045" width="10.28515625" bestFit="1" customWidth="1"/>
    <col min="3046" max="3047" width="9.28515625" bestFit="1" customWidth="1"/>
    <col min="3049" max="3049" width="10.28515625" bestFit="1" customWidth="1"/>
    <col min="3050" max="3051" width="9.28515625" bestFit="1" customWidth="1"/>
    <col min="3053" max="3053" width="10.28515625" bestFit="1" customWidth="1"/>
    <col min="3054" max="3055" width="9.28515625" bestFit="1" customWidth="1"/>
    <col min="3057" max="3057" width="10.28515625" bestFit="1" customWidth="1"/>
    <col min="3058" max="3059" width="9.28515625" bestFit="1" customWidth="1"/>
    <col min="3061" max="3061" width="10.28515625" bestFit="1" customWidth="1"/>
    <col min="3062" max="3063" width="9.28515625" bestFit="1" customWidth="1"/>
    <col min="3065" max="3065" width="10.28515625" bestFit="1" customWidth="1"/>
    <col min="3066" max="3067" width="9.28515625" bestFit="1" customWidth="1"/>
    <col min="3069" max="3069" width="10.28515625" bestFit="1" customWidth="1"/>
    <col min="3070" max="3071" width="9.28515625" bestFit="1" customWidth="1"/>
    <col min="3073" max="3073" width="10.28515625" bestFit="1" customWidth="1"/>
    <col min="3074" max="3075" width="9.28515625" bestFit="1" customWidth="1"/>
    <col min="3077" max="3077" width="10.28515625" bestFit="1" customWidth="1"/>
    <col min="3078" max="3079" width="9.28515625" bestFit="1" customWidth="1"/>
    <col min="3081" max="3081" width="10.28515625" bestFit="1" customWidth="1"/>
    <col min="3082" max="3083" width="9.28515625" bestFit="1" customWidth="1"/>
    <col min="3085" max="3085" width="10.28515625" bestFit="1" customWidth="1"/>
    <col min="3086" max="3087" width="9.28515625" bestFit="1" customWidth="1"/>
    <col min="3089" max="3089" width="10.28515625" bestFit="1" customWidth="1"/>
    <col min="3090" max="3091" width="9.28515625" bestFit="1" customWidth="1"/>
    <col min="3093" max="3093" width="10.28515625" bestFit="1" customWidth="1"/>
    <col min="3094" max="3095" width="9.28515625" bestFit="1" customWidth="1"/>
    <col min="3097" max="3097" width="10.28515625" bestFit="1" customWidth="1"/>
    <col min="3098" max="3099" width="9.28515625" bestFit="1" customWidth="1"/>
    <col min="3101" max="3101" width="10.28515625" bestFit="1" customWidth="1"/>
    <col min="3102" max="3103" width="9.28515625" bestFit="1" customWidth="1"/>
    <col min="3105" max="3105" width="10.28515625" bestFit="1" customWidth="1"/>
    <col min="3106" max="3107" width="9.28515625" bestFit="1" customWidth="1"/>
    <col min="3109" max="3109" width="10.28515625" bestFit="1" customWidth="1"/>
    <col min="3110" max="3111" width="9.28515625" bestFit="1" customWidth="1"/>
    <col min="3113" max="3113" width="10.28515625" bestFit="1" customWidth="1"/>
    <col min="3114" max="3115" width="9.28515625" bestFit="1" customWidth="1"/>
    <col min="3117" max="3117" width="10.28515625" bestFit="1" customWidth="1"/>
    <col min="3118" max="3119" width="9.28515625" bestFit="1" customWidth="1"/>
    <col min="3121" max="3121" width="10.28515625" bestFit="1" customWidth="1"/>
    <col min="3122" max="3123" width="9.28515625" bestFit="1" customWidth="1"/>
    <col min="3125" max="3125" width="10.28515625" bestFit="1" customWidth="1"/>
    <col min="3126" max="3127" width="9.28515625" bestFit="1" customWidth="1"/>
    <col min="3129" max="3129" width="10.28515625" bestFit="1" customWidth="1"/>
    <col min="3130" max="3131" width="9.28515625" bestFit="1" customWidth="1"/>
    <col min="3133" max="3133" width="10.28515625" bestFit="1" customWidth="1"/>
    <col min="3134" max="3135" width="9.28515625" bestFit="1" customWidth="1"/>
    <col min="3137" max="3137" width="10.28515625" bestFit="1" customWidth="1"/>
    <col min="3138" max="3139" width="9.28515625" bestFit="1" customWidth="1"/>
    <col min="3141" max="3141" width="10.28515625" bestFit="1" customWidth="1"/>
    <col min="3142" max="3143" width="9.28515625" bestFit="1" customWidth="1"/>
    <col min="3145" max="3145" width="10.28515625" bestFit="1" customWidth="1"/>
    <col min="3146" max="3147" width="9.28515625" bestFit="1" customWidth="1"/>
    <col min="3149" max="3149" width="10.28515625" bestFit="1" customWidth="1"/>
    <col min="3150" max="3151" width="9.28515625" bestFit="1" customWidth="1"/>
    <col min="3153" max="3153" width="10.28515625" bestFit="1" customWidth="1"/>
    <col min="3154" max="3155" width="9.28515625" bestFit="1" customWidth="1"/>
    <col min="3157" max="3157" width="10.28515625" bestFit="1" customWidth="1"/>
    <col min="3158" max="3159" width="9.28515625" bestFit="1" customWidth="1"/>
    <col min="3161" max="3161" width="10.28515625" bestFit="1" customWidth="1"/>
    <col min="3162" max="3163" width="9.28515625" bestFit="1" customWidth="1"/>
    <col min="3165" max="3165" width="10.28515625" bestFit="1" customWidth="1"/>
    <col min="3166" max="3167" width="9.28515625" bestFit="1" customWidth="1"/>
    <col min="3169" max="3169" width="10.28515625" bestFit="1" customWidth="1"/>
    <col min="3170" max="3171" width="9.28515625" bestFit="1" customWidth="1"/>
    <col min="3173" max="3173" width="10.28515625" bestFit="1" customWidth="1"/>
    <col min="3174" max="3175" width="9.28515625" bestFit="1" customWidth="1"/>
    <col min="3177" max="3177" width="10.28515625" bestFit="1" customWidth="1"/>
    <col min="3178" max="3179" width="9.28515625" bestFit="1" customWidth="1"/>
    <col min="3181" max="3181" width="10.28515625" bestFit="1" customWidth="1"/>
    <col min="3182" max="3183" width="9.28515625" bestFit="1" customWidth="1"/>
    <col min="3185" max="3185" width="10.28515625" bestFit="1" customWidth="1"/>
    <col min="3186" max="3187" width="9.28515625" bestFit="1" customWidth="1"/>
    <col min="3189" max="3189" width="10.28515625" bestFit="1" customWidth="1"/>
    <col min="3190" max="3191" width="9.28515625" bestFit="1" customWidth="1"/>
    <col min="3193" max="3193" width="10.28515625" bestFit="1" customWidth="1"/>
    <col min="3194" max="3195" width="9.28515625" bestFit="1" customWidth="1"/>
    <col min="3197" max="3197" width="10.28515625" bestFit="1" customWidth="1"/>
    <col min="3198" max="3199" width="9.28515625" bestFit="1" customWidth="1"/>
    <col min="3201" max="3201" width="10.28515625" bestFit="1" customWidth="1"/>
    <col min="3202" max="3203" width="9.28515625" bestFit="1" customWidth="1"/>
    <col min="3205" max="3205" width="10.28515625" bestFit="1" customWidth="1"/>
    <col min="3206" max="3207" width="9.28515625" bestFit="1" customWidth="1"/>
    <col min="3209" max="3209" width="10.28515625" bestFit="1" customWidth="1"/>
    <col min="3210" max="3211" width="9.28515625" bestFit="1" customWidth="1"/>
    <col min="3213" max="3213" width="10.28515625" bestFit="1" customWidth="1"/>
    <col min="3214" max="3215" width="9.28515625" bestFit="1" customWidth="1"/>
    <col min="3217" max="3217" width="10.28515625" bestFit="1" customWidth="1"/>
    <col min="3218" max="3219" width="9.28515625" bestFit="1" customWidth="1"/>
    <col min="3221" max="3221" width="10.28515625" bestFit="1" customWidth="1"/>
    <col min="3222" max="3223" width="9.28515625" bestFit="1" customWidth="1"/>
    <col min="3225" max="3225" width="10.28515625" bestFit="1" customWidth="1"/>
    <col min="3226" max="3227" width="9.28515625" bestFit="1" customWidth="1"/>
    <col min="3229" max="3229" width="10.28515625" bestFit="1" customWidth="1"/>
    <col min="3230" max="3231" width="9.28515625" bestFit="1" customWidth="1"/>
    <col min="3233" max="3233" width="10.28515625" bestFit="1" customWidth="1"/>
    <col min="3234" max="3235" width="9.28515625" bestFit="1" customWidth="1"/>
    <col min="3237" max="3237" width="10.28515625" bestFit="1" customWidth="1"/>
    <col min="3238" max="3239" width="9.28515625" bestFit="1" customWidth="1"/>
    <col min="3241" max="3241" width="10.28515625" bestFit="1" customWidth="1"/>
    <col min="3242" max="3243" width="9.28515625" bestFit="1" customWidth="1"/>
    <col min="3245" max="3245" width="10.28515625" bestFit="1" customWidth="1"/>
    <col min="3246" max="3247" width="9.28515625" bestFit="1" customWidth="1"/>
    <col min="3249" max="3249" width="10.28515625" bestFit="1" customWidth="1"/>
    <col min="3250" max="3251" width="9.28515625" bestFit="1" customWidth="1"/>
    <col min="3253" max="3253" width="10.28515625" bestFit="1" customWidth="1"/>
    <col min="3254" max="3255" width="9.28515625" bestFit="1" customWidth="1"/>
    <col min="3257" max="3257" width="10.28515625" bestFit="1" customWidth="1"/>
    <col min="3258" max="3259" width="9.28515625" bestFit="1" customWidth="1"/>
    <col min="3261" max="3261" width="10.28515625" bestFit="1" customWidth="1"/>
    <col min="3262" max="3263" width="9.28515625" bestFit="1" customWidth="1"/>
    <col min="3265" max="3265" width="10.28515625" bestFit="1" customWidth="1"/>
    <col min="3266" max="3267" width="9.28515625" bestFit="1" customWidth="1"/>
    <col min="3269" max="3269" width="10.28515625" bestFit="1" customWidth="1"/>
    <col min="3270" max="3271" width="9.28515625" bestFit="1" customWidth="1"/>
    <col min="3273" max="3273" width="10.28515625" bestFit="1" customWidth="1"/>
    <col min="3274" max="3275" width="9.28515625" bestFit="1" customWidth="1"/>
    <col min="3277" max="3277" width="10.28515625" bestFit="1" customWidth="1"/>
    <col min="3278" max="3279" width="9.28515625" bestFit="1" customWidth="1"/>
    <col min="3281" max="3281" width="10.28515625" bestFit="1" customWidth="1"/>
    <col min="3282" max="3283" width="9.28515625" bestFit="1" customWidth="1"/>
    <col min="3285" max="3285" width="10.28515625" bestFit="1" customWidth="1"/>
    <col min="3286" max="3287" width="9.28515625" bestFit="1" customWidth="1"/>
    <col min="3289" max="3289" width="10.28515625" bestFit="1" customWidth="1"/>
    <col min="3290" max="3291" width="9.28515625" bestFit="1" customWidth="1"/>
    <col min="3293" max="3293" width="10.28515625" bestFit="1" customWidth="1"/>
    <col min="3294" max="3295" width="9.28515625" bestFit="1" customWidth="1"/>
    <col min="3297" max="3297" width="10.28515625" bestFit="1" customWidth="1"/>
    <col min="3298" max="3299" width="9.28515625" bestFit="1" customWidth="1"/>
    <col min="3301" max="3301" width="10.28515625" bestFit="1" customWidth="1"/>
    <col min="3302" max="3303" width="9.28515625" bestFit="1" customWidth="1"/>
    <col min="3305" max="3305" width="10.28515625" bestFit="1" customWidth="1"/>
    <col min="3306" max="3307" width="9.28515625" bestFit="1" customWidth="1"/>
    <col min="3309" max="3309" width="10.28515625" bestFit="1" customWidth="1"/>
    <col min="3310" max="3311" width="9.28515625" bestFit="1" customWidth="1"/>
    <col min="3313" max="3313" width="10.28515625" bestFit="1" customWidth="1"/>
    <col min="3314" max="3315" width="9.28515625" bestFit="1" customWidth="1"/>
    <col min="3317" max="3317" width="10.28515625" bestFit="1" customWidth="1"/>
    <col min="3318" max="3319" width="9.28515625" bestFit="1" customWidth="1"/>
    <col min="3321" max="3321" width="10.28515625" bestFit="1" customWidth="1"/>
    <col min="3322" max="3323" width="9.28515625" bestFit="1" customWidth="1"/>
    <col min="3325" max="3325" width="10.28515625" bestFit="1" customWidth="1"/>
    <col min="3326" max="3327" width="9.28515625" bestFit="1" customWidth="1"/>
    <col min="3329" max="3329" width="10.28515625" bestFit="1" customWidth="1"/>
    <col min="3330" max="3331" width="9.28515625" bestFit="1" customWidth="1"/>
    <col min="3333" max="3333" width="10.28515625" bestFit="1" customWidth="1"/>
    <col min="3334" max="3335" width="9.28515625" bestFit="1" customWidth="1"/>
    <col min="3337" max="3337" width="10.28515625" bestFit="1" customWidth="1"/>
    <col min="3338" max="3339" width="9.28515625" bestFit="1" customWidth="1"/>
    <col min="3341" max="3341" width="10.28515625" bestFit="1" customWidth="1"/>
    <col min="3342" max="3343" width="9.28515625" bestFit="1" customWidth="1"/>
    <col min="3345" max="3345" width="10.28515625" bestFit="1" customWidth="1"/>
    <col min="3346" max="3347" width="9.28515625" bestFit="1" customWidth="1"/>
    <col min="3349" max="3349" width="10.28515625" bestFit="1" customWidth="1"/>
    <col min="3350" max="3351" width="9.28515625" bestFit="1" customWidth="1"/>
    <col min="3353" max="3353" width="10.28515625" bestFit="1" customWidth="1"/>
    <col min="3354" max="3355" width="9.28515625" bestFit="1" customWidth="1"/>
    <col min="3357" max="3357" width="10.28515625" bestFit="1" customWidth="1"/>
    <col min="3358" max="3359" width="9.28515625" bestFit="1" customWidth="1"/>
    <col min="3361" max="3361" width="10.28515625" bestFit="1" customWidth="1"/>
    <col min="3362" max="3363" width="9.28515625" bestFit="1" customWidth="1"/>
    <col min="3365" max="3365" width="10.28515625" bestFit="1" customWidth="1"/>
    <col min="3366" max="3367" width="9.28515625" bestFit="1" customWidth="1"/>
    <col min="3369" max="3369" width="10.28515625" bestFit="1" customWidth="1"/>
    <col min="3370" max="3371" width="9.28515625" bestFit="1" customWidth="1"/>
    <col min="3373" max="3373" width="10.28515625" bestFit="1" customWidth="1"/>
    <col min="3374" max="3375" width="9.28515625" bestFit="1" customWidth="1"/>
    <col min="3377" max="3377" width="10.28515625" bestFit="1" customWidth="1"/>
    <col min="3378" max="3379" width="9.28515625" bestFit="1" customWidth="1"/>
    <col min="3381" max="3381" width="10.28515625" bestFit="1" customWidth="1"/>
    <col min="3382" max="3383" width="9.28515625" bestFit="1" customWidth="1"/>
    <col min="3385" max="3385" width="10.28515625" bestFit="1" customWidth="1"/>
    <col min="3386" max="3387" width="9.28515625" bestFit="1" customWidth="1"/>
    <col min="3389" max="3389" width="10.28515625" bestFit="1" customWidth="1"/>
    <col min="3390" max="3391" width="9.28515625" bestFit="1" customWidth="1"/>
    <col min="3393" max="3393" width="10.28515625" bestFit="1" customWidth="1"/>
    <col min="3394" max="3395" width="9.28515625" bestFit="1" customWidth="1"/>
    <col min="3397" max="3397" width="10.28515625" bestFit="1" customWidth="1"/>
    <col min="3398" max="3399" width="9.28515625" bestFit="1" customWidth="1"/>
    <col min="3401" max="3401" width="10.28515625" bestFit="1" customWidth="1"/>
    <col min="3402" max="3403" width="9.28515625" bestFit="1" customWidth="1"/>
    <col min="3405" max="3405" width="10.28515625" bestFit="1" customWidth="1"/>
    <col min="3406" max="3407" width="9.28515625" bestFit="1" customWidth="1"/>
    <col min="3409" max="3409" width="10.28515625" bestFit="1" customWidth="1"/>
    <col min="3410" max="3411" width="9.28515625" bestFit="1" customWidth="1"/>
    <col min="3413" max="3413" width="10.28515625" bestFit="1" customWidth="1"/>
    <col min="3414" max="3415" width="9.28515625" bestFit="1" customWidth="1"/>
    <col min="3417" max="3417" width="10.28515625" bestFit="1" customWidth="1"/>
    <col min="3418" max="3419" width="9.28515625" bestFit="1" customWidth="1"/>
    <col min="3421" max="3421" width="10.28515625" bestFit="1" customWidth="1"/>
    <col min="3422" max="3423" width="9.28515625" bestFit="1" customWidth="1"/>
    <col min="3425" max="3425" width="10.28515625" bestFit="1" customWidth="1"/>
    <col min="3426" max="3427" width="9.28515625" bestFit="1" customWidth="1"/>
    <col min="3429" max="3429" width="10.28515625" bestFit="1" customWidth="1"/>
    <col min="3430" max="3431" width="9.28515625" bestFit="1" customWidth="1"/>
    <col min="3433" max="3433" width="10.28515625" bestFit="1" customWidth="1"/>
    <col min="3434" max="3435" width="9.28515625" bestFit="1" customWidth="1"/>
    <col min="3437" max="3437" width="10.28515625" bestFit="1" customWidth="1"/>
    <col min="3438" max="3439" width="9.28515625" bestFit="1" customWidth="1"/>
    <col min="3441" max="3441" width="10.28515625" bestFit="1" customWidth="1"/>
    <col min="3442" max="3443" width="9.28515625" bestFit="1" customWidth="1"/>
    <col min="3445" max="3445" width="10.28515625" bestFit="1" customWidth="1"/>
    <col min="3446" max="3447" width="9.28515625" bestFit="1" customWidth="1"/>
    <col min="3449" max="3449" width="10.28515625" bestFit="1" customWidth="1"/>
    <col min="3450" max="3451" width="9.28515625" bestFit="1" customWidth="1"/>
    <col min="3453" max="3453" width="10.28515625" bestFit="1" customWidth="1"/>
    <col min="3454" max="3455" width="9.28515625" bestFit="1" customWidth="1"/>
    <col min="3457" max="3457" width="10.28515625" bestFit="1" customWidth="1"/>
    <col min="3458" max="3459" width="9.28515625" bestFit="1" customWidth="1"/>
    <col min="3461" max="3461" width="10.28515625" bestFit="1" customWidth="1"/>
    <col min="3462" max="3463" width="9.28515625" bestFit="1" customWidth="1"/>
    <col min="3465" max="3465" width="10.28515625" bestFit="1" customWidth="1"/>
    <col min="3466" max="3467" width="9.28515625" bestFit="1" customWidth="1"/>
    <col min="3469" max="3469" width="10.28515625" bestFit="1" customWidth="1"/>
    <col min="3470" max="3471" width="9.28515625" bestFit="1" customWidth="1"/>
    <col min="3473" max="3473" width="10.28515625" bestFit="1" customWidth="1"/>
    <col min="3474" max="3475" width="9.28515625" bestFit="1" customWidth="1"/>
    <col min="3477" max="3477" width="10.28515625" bestFit="1" customWidth="1"/>
    <col min="3478" max="3479" width="9.28515625" bestFit="1" customWidth="1"/>
    <col min="3481" max="3481" width="10.28515625" bestFit="1" customWidth="1"/>
    <col min="3482" max="3483" width="9.28515625" bestFit="1" customWidth="1"/>
    <col min="3485" max="3485" width="10.28515625" bestFit="1" customWidth="1"/>
    <col min="3486" max="3487" width="9.28515625" bestFit="1" customWidth="1"/>
    <col min="3489" max="3489" width="10.28515625" bestFit="1" customWidth="1"/>
    <col min="3490" max="3491" width="9.28515625" bestFit="1" customWidth="1"/>
    <col min="3493" max="3493" width="10.28515625" bestFit="1" customWidth="1"/>
    <col min="3494" max="3495" width="9.28515625" bestFit="1" customWidth="1"/>
    <col min="3497" max="3497" width="10.28515625" bestFit="1" customWidth="1"/>
    <col min="3498" max="3499" width="9.28515625" bestFit="1" customWidth="1"/>
    <col min="3501" max="3501" width="10.28515625" bestFit="1" customWidth="1"/>
    <col min="3502" max="3503" width="9.28515625" bestFit="1" customWidth="1"/>
    <col min="3505" max="3505" width="10.28515625" bestFit="1" customWidth="1"/>
    <col min="3506" max="3507" width="9.28515625" bestFit="1" customWidth="1"/>
    <col min="3509" max="3509" width="10.28515625" bestFit="1" customWidth="1"/>
    <col min="3510" max="3511" width="9.28515625" bestFit="1" customWidth="1"/>
    <col min="3513" max="3513" width="10.28515625" bestFit="1" customWidth="1"/>
    <col min="3514" max="3515" width="9.28515625" bestFit="1" customWidth="1"/>
    <col min="3517" max="3517" width="10.28515625" bestFit="1" customWidth="1"/>
    <col min="3518" max="3519" width="9.28515625" bestFit="1" customWidth="1"/>
    <col min="3521" max="3521" width="10.28515625" bestFit="1" customWidth="1"/>
    <col min="3522" max="3523" width="9.28515625" bestFit="1" customWidth="1"/>
    <col min="3525" max="3525" width="10.28515625" bestFit="1" customWidth="1"/>
    <col min="3526" max="3527" width="9.28515625" bestFit="1" customWidth="1"/>
    <col min="3529" max="3529" width="10.28515625" bestFit="1" customWidth="1"/>
    <col min="3530" max="3531" width="9.28515625" bestFit="1" customWidth="1"/>
    <col min="3533" max="3533" width="10.28515625" bestFit="1" customWidth="1"/>
    <col min="3534" max="3535" width="9.28515625" bestFit="1" customWidth="1"/>
    <col min="3537" max="3537" width="10.28515625" bestFit="1" customWidth="1"/>
    <col min="3538" max="3539" width="9.28515625" bestFit="1" customWidth="1"/>
    <col min="3541" max="3541" width="10.28515625" bestFit="1" customWidth="1"/>
    <col min="3542" max="3543" width="9.28515625" bestFit="1" customWidth="1"/>
    <col min="3545" max="3545" width="10.28515625" bestFit="1" customWidth="1"/>
    <col min="3546" max="3547" width="9.28515625" bestFit="1" customWidth="1"/>
    <col min="3549" max="3549" width="10.28515625" bestFit="1" customWidth="1"/>
    <col min="3550" max="3551" width="9.28515625" bestFit="1" customWidth="1"/>
    <col min="3553" max="3553" width="10.28515625" bestFit="1" customWidth="1"/>
    <col min="3554" max="3555" width="9.28515625" bestFit="1" customWidth="1"/>
    <col min="3557" max="3557" width="10.28515625" bestFit="1" customWidth="1"/>
    <col min="3558" max="3559" width="9.28515625" bestFit="1" customWidth="1"/>
    <col min="3561" max="3561" width="10.28515625" bestFit="1" customWidth="1"/>
    <col min="3562" max="3563" width="9.28515625" bestFit="1" customWidth="1"/>
    <col min="3565" max="3565" width="10.28515625" bestFit="1" customWidth="1"/>
    <col min="3566" max="3567" width="9.28515625" bestFit="1" customWidth="1"/>
    <col min="3569" max="3569" width="10.28515625" bestFit="1" customWidth="1"/>
    <col min="3570" max="3571" width="9.28515625" bestFit="1" customWidth="1"/>
    <col min="3573" max="3573" width="10.28515625" bestFit="1" customWidth="1"/>
    <col min="3574" max="3575" width="9.28515625" bestFit="1" customWidth="1"/>
    <col min="3577" max="3577" width="10.28515625" bestFit="1" customWidth="1"/>
    <col min="3578" max="3579" width="9.28515625" bestFit="1" customWidth="1"/>
    <col min="3581" max="3581" width="10.28515625" bestFit="1" customWidth="1"/>
    <col min="3582" max="3583" width="9.28515625" bestFit="1" customWidth="1"/>
    <col min="3585" max="3585" width="10.28515625" bestFit="1" customWidth="1"/>
    <col min="3586" max="3587" width="9.28515625" bestFit="1" customWidth="1"/>
    <col min="3589" max="3589" width="10.28515625" bestFit="1" customWidth="1"/>
    <col min="3590" max="3591" width="9.28515625" bestFit="1" customWidth="1"/>
    <col min="3593" max="3593" width="10.28515625" bestFit="1" customWidth="1"/>
    <col min="3594" max="3595" width="9.28515625" bestFit="1" customWidth="1"/>
    <col min="3597" max="3597" width="10.28515625" bestFit="1" customWidth="1"/>
    <col min="3598" max="3599" width="9.28515625" bestFit="1" customWidth="1"/>
    <col min="3601" max="3601" width="10.28515625" bestFit="1" customWidth="1"/>
    <col min="3602" max="3603" width="9.28515625" bestFit="1" customWidth="1"/>
    <col min="3605" max="3605" width="10.28515625" bestFit="1" customWidth="1"/>
    <col min="3606" max="3607" width="9.28515625" bestFit="1" customWidth="1"/>
    <col min="3609" max="3609" width="10.28515625" bestFit="1" customWidth="1"/>
    <col min="3610" max="3611" width="9.28515625" bestFit="1" customWidth="1"/>
    <col min="3613" max="3613" width="10.28515625" bestFit="1" customWidth="1"/>
    <col min="3614" max="3615" width="9.28515625" bestFit="1" customWidth="1"/>
    <col min="3617" max="3617" width="10.28515625" bestFit="1" customWidth="1"/>
    <col min="3618" max="3619" width="9.28515625" bestFit="1" customWidth="1"/>
    <col min="3621" max="3621" width="10.28515625" bestFit="1" customWidth="1"/>
    <col min="3622" max="3623" width="9.28515625" bestFit="1" customWidth="1"/>
    <col min="3625" max="3625" width="10.28515625" bestFit="1" customWidth="1"/>
    <col min="3626" max="3627" width="9.28515625" bestFit="1" customWidth="1"/>
    <col min="3629" max="3629" width="10.28515625" bestFit="1" customWidth="1"/>
    <col min="3630" max="3631" width="9.28515625" bestFit="1" customWidth="1"/>
    <col min="3633" max="3633" width="10.28515625" bestFit="1" customWidth="1"/>
    <col min="3634" max="3635" width="9.28515625" bestFit="1" customWidth="1"/>
    <col min="3637" max="3637" width="10.28515625" bestFit="1" customWidth="1"/>
    <col min="3638" max="3639" width="9.28515625" bestFit="1" customWidth="1"/>
    <col min="3641" max="3641" width="10.28515625" bestFit="1" customWidth="1"/>
    <col min="3642" max="3643" width="9.28515625" bestFit="1" customWidth="1"/>
    <col min="3645" max="3645" width="10.28515625" bestFit="1" customWidth="1"/>
    <col min="3646" max="3647" width="9.28515625" bestFit="1" customWidth="1"/>
    <col min="3649" max="3649" width="10.28515625" bestFit="1" customWidth="1"/>
    <col min="3650" max="3651" width="9.28515625" bestFit="1" customWidth="1"/>
    <col min="3653" max="3653" width="10.28515625" bestFit="1" customWidth="1"/>
    <col min="3654" max="3655" width="9.28515625" bestFit="1" customWidth="1"/>
    <col min="3657" max="3657" width="10.28515625" bestFit="1" customWidth="1"/>
    <col min="3658" max="3659" width="9.28515625" bestFit="1" customWidth="1"/>
    <col min="3661" max="3661" width="10.28515625" bestFit="1" customWidth="1"/>
    <col min="3662" max="3663" width="9.28515625" bestFit="1" customWidth="1"/>
    <col min="3665" max="3665" width="10.28515625" bestFit="1" customWidth="1"/>
    <col min="3666" max="3667" width="9.28515625" bestFit="1" customWidth="1"/>
    <col min="3669" max="3669" width="10.28515625" bestFit="1" customWidth="1"/>
    <col min="3670" max="3671" width="9.28515625" bestFit="1" customWidth="1"/>
    <col min="3673" max="3673" width="10.28515625" bestFit="1" customWidth="1"/>
    <col min="3674" max="3675" width="9.28515625" bestFit="1" customWidth="1"/>
    <col min="3677" max="3677" width="10.28515625" bestFit="1" customWidth="1"/>
    <col min="3678" max="3679" width="9.28515625" bestFit="1" customWidth="1"/>
    <col min="3681" max="3681" width="10.28515625" bestFit="1" customWidth="1"/>
    <col min="3682" max="3683" width="9.28515625" bestFit="1" customWidth="1"/>
    <col min="3685" max="3685" width="10.28515625" bestFit="1" customWidth="1"/>
    <col min="3686" max="3687" width="9.28515625" bestFit="1" customWidth="1"/>
    <col min="3689" max="3689" width="10.28515625" bestFit="1" customWidth="1"/>
    <col min="3690" max="3691" width="9.28515625" bestFit="1" customWidth="1"/>
    <col min="3693" max="3693" width="10.28515625" bestFit="1" customWidth="1"/>
    <col min="3694" max="3695" width="9.28515625" bestFit="1" customWidth="1"/>
    <col min="3697" max="3697" width="10.28515625" bestFit="1" customWidth="1"/>
    <col min="3698" max="3699" width="9.28515625" bestFit="1" customWidth="1"/>
    <col min="3701" max="3701" width="10.28515625" bestFit="1" customWidth="1"/>
    <col min="3702" max="3703" width="9.28515625" bestFit="1" customWidth="1"/>
    <col min="3705" max="3705" width="10.28515625" bestFit="1" customWidth="1"/>
    <col min="3706" max="3707" width="9.28515625" bestFit="1" customWidth="1"/>
    <col min="3709" max="3709" width="10.28515625" bestFit="1" customWidth="1"/>
    <col min="3710" max="3711" width="9.28515625" bestFit="1" customWidth="1"/>
    <col min="3713" max="3713" width="10.28515625" bestFit="1" customWidth="1"/>
    <col min="3714" max="3715" width="9.28515625" bestFit="1" customWidth="1"/>
    <col min="3717" max="3717" width="10.28515625" bestFit="1" customWidth="1"/>
    <col min="3718" max="3719" width="9.28515625" bestFit="1" customWidth="1"/>
    <col min="3721" max="3721" width="10.28515625" bestFit="1" customWidth="1"/>
    <col min="3722" max="3723" width="9.28515625" bestFit="1" customWidth="1"/>
    <col min="3725" max="3725" width="10.28515625" bestFit="1" customWidth="1"/>
    <col min="3726" max="3727" width="9.28515625" bestFit="1" customWidth="1"/>
    <col min="3729" max="3729" width="10.28515625" bestFit="1" customWidth="1"/>
    <col min="3730" max="3731" width="9.28515625" bestFit="1" customWidth="1"/>
    <col min="3733" max="3733" width="10.28515625" bestFit="1" customWidth="1"/>
    <col min="3734" max="3735" width="9.28515625" bestFit="1" customWidth="1"/>
    <col min="3737" max="3737" width="10.28515625" bestFit="1" customWidth="1"/>
    <col min="3738" max="3739" width="9.28515625" bestFit="1" customWidth="1"/>
    <col min="3741" max="3741" width="10.28515625" bestFit="1" customWidth="1"/>
    <col min="3742" max="3743" width="9.28515625" bestFit="1" customWidth="1"/>
    <col min="3745" max="3745" width="10.28515625" bestFit="1" customWidth="1"/>
    <col min="3746" max="3747" width="9.28515625" bestFit="1" customWidth="1"/>
    <col min="3749" max="3749" width="10.28515625" bestFit="1" customWidth="1"/>
    <col min="3750" max="3751" width="9.28515625" bestFit="1" customWidth="1"/>
    <col min="3753" max="3753" width="10.28515625" bestFit="1" customWidth="1"/>
    <col min="3754" max="3755" width="9.28515625" bestFit="1" customWidth="1"/>
    <col min="3757" max="3757" width="10.28515625" bestFit="1" customWidth="1"/>
    <col min="3758" max="3759" width="9.28515625" bestFit="1" customWidth="1"/>
    <col min="3761" max="3761" width="10.28515625" bestFit="1" customWidth="1"/>
    <col min="3762" max="3763" width="9.28515625" bestFit="1" customWidth="1"/>
    <col min="3765" max="3765" width="10.28515625" bestFit="1" customWidth="1"/>
    <col min="3766" max="3767" width="9.28515625" bestFit="1" customWidth="1"/>
    <col min="3769" max="3769" width="10.28515625" bestFit="1" customWidth="1"/>
    <col min="3770" max="3771" width="9.28515625" bestFit="1" customWidth="1"/>
    <col min="3773" max="3773" width="10.28515625" bestFit="1" customWidth="1"/>
    <col min="3774" max="3775" width="9.28515625" bestFit="1" customWidth="1"/>
    <col min="3777" max="3777" width="10.28515625" bestFit="1" customWidth="1"/>
    <col min="3778" max="3779" width="9.28515625" bestFit="1" customWidth="1"/>
    <col min="3781" max="3781" width="10.28515625" bestFit="1" customWidth="1"/>
    <col min="3782" max="3783" width="9.28515625" bestFit="1" customWidth="1"/>
    <col min="3785" max="3785" width="10.28515625" bestFit="1" customWidth="1"/>
    <col min="3786" max="3787" width="9.28515625" bestFit="1" customWidth="1"/>
    <col min="3789" max="3789" width="10.28515625" bestFit="1" customWidth="1"/>
    <col min="3790" max="3791" width="9.28515625" bestFit="1" customWidth="1"/>
    <col min="3793" max="3793" width="10.28515625" bestFit="1" customWidth="1"/>
    <col min="3794" max="3795" width="9.28515625" bestFit="1" customWidth="1"/>
    <col min="3797" max="3797" width="10.28515625" bestFit="1" customWidth="1"/>
    <col min="3798" max="3799" width="9.28515625" bestFit="1" customWidth="1"/>
    <col min="3801" max="3801" width="10.28515625" bestFit="1" customWidth="1"/>
    <col min="3802" max="3803" width="9.28515625" bestFit="1" customWidth="1"/>
    <col min="3805" max="3805" width="10.28515625" bestFit="1" customWidth="1"/>
    <col min="3806" max="3807" width="9.28515625" bestFit="1" customWidth="1"/>
    <col min="3809" max="3809" width="10.28515625" bestFit="1" customWidth="1"/>
    <col min="3810" max="3811" width="9.28515625" bestFit="1" customWidth="1"/>
    <col min="3813" max="3813" width="10.28515625" bestFit="1" customWidth="1"/>
    <col min="3814" max="3815" width="9.28515625" bestFit="1" customWidth="1"/>
    <col min="3817" max="3817" width="10.28515625" bestFit="1" customWidth="1"/>
    <col min="3818" max="3819" width="9.28515625" bestFit="1" customWidth="1"/>
    <col min="3821" max="3821" width="10.28515625" bestFit="1" customWidth="1"/>
    <col min="3822" max="3823" width="9.28515625" bestFit="1" customWidth="1"/>
    <col min="3825" max="3825" width="10.28515625" bestFit="1" customWidth="1"/>
    <col min="3826" max="3827" width="9.28515625" bestFit="1" customWidth="1"/>
    <col min="3829" max="3829" width="10.28515625" bestFit="1" customWidth="1"/>
    <col min="3830" max="3831" width="9.28515625" bestFit="1" customWidth="1"/>
    <col min="3833" max="3833" width="10.28515625" bestFit="1" customWidth="1"/>
    <col min="3834" max="3835" width="9.28515625" bestFit="1" customWidth="1"/>
    <col min="3837" max="3837" width="10.28515625" bestFit="1" customWidth="1"/>
    <col min="3838" max="3839" width="9.28515625" bestFit="1" customWidth="1"/>
    <col min="3841" max="3841" width="10.28515625" bestFit="1" customWidth="1"/>
    <col min="3842" max="3843" width="9.28515625" bestFit="1" customWidth="1"/>
    <col min="3845" max="3845" width="10.28515625" bestFit="1" customWidth="1"/>
    <col min="3846" max="3847" width="9.28515625" bestFit="1" customWidth="1"/>
    <col min="3849" max="3849" width="10.28515625" bestFit="1" customWidth="1"/>
    <col min="3850" max="3851" width="9.28515625" bestFit="1" customWidth="1"/>
    <col min="3853" max="3853" width="10.28515625" bestFit="1" customWidth="1"/>
    <col min="3854" max="3855" width="9.28515625" bestFit="1" customWidth="1"/>
    <col min="3857" max="3857" width="10.28515625" bestFit="1" customWidth="1"/>
    <col min="3858" max="3859" width="9.28515625" bestFit="1" customWidth="1"/>
    <col min="3861" max="3861" width="10.28515625" bestFit="1" customWidth="1"/>
    <col min="3862" max="3863" width="9.28515625" bestFit="1" customWidth="1"/>
    <col min="3865" max="3865" width="10.28515625" bestFit="1" customWidth="1"/>
    <col min="3866" max="3867" width="9.28515625" bestFit="1" customWidth="1"/>
    <col min="3869" max="3869" width="10.28515625" bestFit="1" customWidth="1"/>
    <col min="3870" max="3871" width="9.28515625" bestFit="1" customWidth="1"/>
    <col min="3873" max="3873" width="10.28515625" bestFit="1" customWidth="1"/>
    <col min="3874" max="3875" width="9.28515625" bestFit="1" customWidth="1"/>
    <col min="3877" max="3877" width="10.28515625" bestFit="1" customWidth="1"/>
    <col min="3878" max="3879" width="9.28515625" bestFit="1" customWidth="1"/>
    <col min="3881" max="3881" width="10.28515625" bestFit="1" customWidth="1"/>
    <col min="3882" max="3883" width="9.28515625" bestFit="1" customWidth="1"/>
    <col min="3885" max="3885" width="10.28515625" bestFit="1" customWidth="1"/>
    <col min="3886" max="3887" width="9.28515625" bestFit="1" customWidth="1"/>
    <col min="3889" max="3889" width="10.28515625" bestFit="1" customWidth="1"/>
    <col min="3890" max="3891" width="9.28515625" bestFit="1" customWidth="1"/>
    <col min="3893" max="3893" width="10.28515625" bestFit="1" customWidth="1"/>
    <col min="3894" max="3895" width="9.28515625" bestFit="1" customWidth="1"/>
    <col min="3897" max="3897" width="10.28515625" bestFit="1" customWidth="1"/>
    <col min="3898" max="3899" width="9.28515625" bestFit="1" customWidth="1"/>
    <col min="3901" max="3901" width="10.28515625" bestFit="1" customWidth="1"/>
    <col min="3902" max="3903" width="9.28515625" bestFit="1" customWidth="1"/>
    <col min="3905" max="3905" width="10.28515625" bestFit="1" customWidth="1"/>
    <col min="3906" max="3907" width="9.28515625" bestFit="1" customWidth="1"/>
    <col min="3909" max="3909" width="10.28515625" bestFit="1" customWidth="1"/>
    <col min="3910" max="3911" width="9.28515625" bestFit="1" customWidth="1"/>
    <col min="3913" max="3913" width="10.28515625" bestFit="1" customWidth="1"/>
    <col min="3914" max="3915" width="9.28515625" bestFit="1" customWidth="1"/>
    <col min="3917" max="3917" width="10.28515625" bestFit="1" customWidth="1"/>
    <col min="3918" max="3919" width="9.28515625" bestFit="1" customWidth="1"/>
    <col min="3921" max="3921" width="10.28515625" bestFit="1" customWidth="1"/>
    <col min="3922" max="3923" width="9.28515625" bestFit="1" customWidth="1"/>
    <col min="3925" max="3925" width="10.28515625" bestFit="1" customWidth="1"/>
    <col min="3926" max="3927" width="9.28515625" bestFit="1" customWidth="1"/>
    <col min="3929" max="3929" width="10.28515625" bestFit="1" customWidth="1"/>
    <col min="3930" max="3931" width="9.28515625" bestFit="1" customWidth="1"/>
    <col min="3933" max="3933" width="10.28515625" bestFit="1" customWidth="1"/>
    <col min="3934" max="3935" width="9.28515625" bestFit="1" customWidth="1"/>
    <col min="3937" max="3937" width="10.28515625" bestFit="1" customWidth="1"/>
    <col min="3938" max="3939" width="9.28515625" bestFit="1" customWidth="1"/>
    <col min="3941" max="3941" width="10.28515625" bestFit="1" customWidth="1"/>
    <col min="3942" max="3943" width="9.28515625" bestFit="1" customWidth="1"/>
    <col min="3945" max="3945" width="10.28515625" bestFit="1" customWidth="1"/>
    <col min="3946" max="3947" width="9.28515625" bestFit="1" customWidth="1"/>
    <col min="3949" max="3949" width="10.28515625" bestFit="1" customWidth="1"/>
    <col min="3950" max="3951" width="9.28515625" bestFit="1" customWidth="1"/>
    <col min="3953" max="3953" width="10.28515625" bestFit="1" customWidth="1"/>
    <col min="3954" max="3955" width="9.28515625" bestFit="1" customWidth="1"/>
    <col min="3957" max="3957" width="10.28515625" bestFit="1" customWidth="1"/>
    <col min="3958" max="3959" width="9.28515625" bestFit="1" customWidth="1"/>
    <col min="3961" max="3961" width="10.28515625" bestFit="1" customWidth="1"/>
    <col min="3962" max="3963" width="9.28515625" bestFit="1" customWidth="1"/>
    <col min="3965" max="3965" width="10.28515625" bestFit="1" customWidth="1"/>
    <col min="3966" max="3967" width="9.28515625" bestFit="1" customWidth="1"/>
    <col min="3969" max="3969" width="10.28515625" bestFit="1" customWidth="1"/>
    <col min="3970" max="3971" width="9.28515625" bestFit="1" customWidth="1"/>
    <col min="3973" max="3973" width="10.28515625" bestFit="1" customWidth="1"/>
    <col min="3974" max="3975" width="9.28515625" bestFit="1" customWidth="1"/>
    <col min="3977" max="3977" width="10.28515625" bestFit="1" customWidth="1"/>
    <col min="3978" max="3979" width="9.28515625" bestFit="1" customWidth="1"/>
    <col min="3981" max="3981" width="10.28515625" bestFit="1" customWidth="1"/>
    <col min="3982" max="3983" width="9.28515625" bestFit="1" customWidth="1"/>
    <col min="3985" max="3985" width="10.28515625" bestFit="1" customWidth="1"/>
    <col min="3986" max="3987" width="9.28515625" bestFit="1" customWidth="1"/>
    <col min="3989" max="3989" width="10.28515625" bestFit="1" customWidth="1"/>
    <col min="3990" max="3991" width="9.28515625" bestFit="1" customWidth="1"/>
    <col min="3993" max="3993" width="10.28515625" bestFit="1" customWidth="1"/>
    <col min="3994" max="3995" width="9.28515625" bestFit="1" customWidth="1"/>
    <col min="3997" max="3997" width="10.28515625" bestFit="1" customWidth="1"/>
    <col min="3998" max="3999" width="9.28515625" bestFit="1" customWidth="1"/>
    <col min="4001" max="4001" width="10.28515625" bestFit="1" customWidth="1"/>
    <col min="4002" max="4003" width="9.28515625" bestFit="1" customWidth="1"/>
    <col min="4005" max="4005" width="10.28515625" bestFit="1" customWidth="1"/>
    <col min="4006" max="4007" width="9.28515625" bestFit="1" customWidth="1"/>
    <col min="4009" max="4009" width="10.28515625" bestFit="1" customWidth="1"/>
    <col min="4010" max="4011" width="9.28515625" bestFit="1" customWidth="1"/>
    <col min="4013" max="4013" width="10.28515625" bestFit="1" customWidth="1"/>
    <col min="4014" max="4015" width="9.28515625" bestFit="1" customWidth="1"/>
    <col min="4017" max="4017" width="10.28515625" bestFit="1" customWidth="1"/>
    <col min="4018" max="4019" width="9.28515625" bestFit="1" customWidth="1"/>
    <col min="4021" max="4021" width="10.28515625" bestFit="1" customWidth="1"/>
    <col min="4022" max="4023" width="9.28515625" bestFit="1" customWidth="1"/>
    <col min="4025" max="4025" width="10.28515625" bestFit="1" customWidth="1"/>
    <col min="4026" max="4027" width="9.28515625" bestFit="1" customWidth="1"/>
    <col min="4029" max="4029" width="10.28515625" bestFit="1" customWidth="1"/>
    <col min="4030" max="4031" width="9.28515625" bestFit="1" customWidth="1"/>
    <col min="4033" max="4033" width="10.28515625" bestFit="1" customWidth="1"/>
    <col min="4034" max="4035" width="9.28515625" bestFit="1" customWidth="1"/>
    <col min="4037" max="4037" width="10.28515625" bestFit="1" customWidth="1"/>
    <col min="4038" max="4039" width="9.28515625" bestFit="1" customWidth="1"/>
    <col min="4041" max="4041" width="10.28515625" bestFit="1" customWidth="1"/>
    <col min="4042" max="4043" width="9.28515625" bestFit="1" customWidth="1"/>
    <col min="4045" max="4045" width="10.28515625" bestFit="1" customWidth="1"/>
    <col min="4046" max="4047" width="9.28515625" bestFit="1" customWidth="1"/>
    <col min="4049" max="4049" width="10.28515625" bestFit="1" customWidth="1"/>
    <col min="4050" max="4051" width="9.28515625" bestFit="1" customWidth="1"/>
    <col min="4053" max="4053" width="10.28515625" bestFit="1" customWidth="1"/>
    <col min="4054" max="4055" width="9.28515625" bestFit="1" customWidth="1"/>
    <col min="4057" max="4057" width="10.28515625" bestFit="1" customWidth="1"/>
    <col min="4058" max="4059" width="9.28515625" bestFit="1" customWidth="1"/>
    <col min="4061" max="4061" width="10.28515625" bestFit="1" customWidth="1"/>
    <col min="4062" max="4063" width="9.28515625" bestFit="1" customWidth="1"/>
    <col min="4065" max="4065" width="10.28515625" bestFit="1" customWidth="1"/>
    <col min="4066" max="4067" width="9.28515625" bestFit="1" customWidth="1"/>
    <col min="4069" max="4069" width="10.28515625" bestFit="1" customWidth="1"/>
    <col min="4070" max="4071" width="9.28515625" bestFit="1" customWidth="1"/>
    <col min="4073" max="4073" width="10.28515625" bestFit="1" customWidth="1"/>
    <col min="4074" max="4075" width="9.28515625" bestFit="1" customWidth="1"/>
    <col min="4077" max="4077" width="10.28515625" bestFit="1" customWidth="1"/>
    <col min="4078" max="4079" width="9.28515625" bestFit="1" customWidth="1"/>
    <col min="4081" max="4081" width="10.28515625" bestFit="1" customWidth="1"/>
    <col min="4082" max="4083" width="9.28515625" bestFit="1" customWidth="1"/>
    <col min="4085" max="4085" width="10.28515625" bestFit="1" customWidth="1"/>
    <col min="4086" max="4087" width="9.28515625" bestFit="1" customWidth="1"/>
    <col min="4089" max="4089" width="10.28515625" bestFit="1" customWidth="1"/>
    <col min="4090" max="4091" width="9.28515625" bestFit="1" customWidth="1"/>
    <col min="4093" max="4093" width="10.28515625" bestFit="1" customWidth="1"/>
    <col min="4094" max="4095" width="9.28515625" bestFit="1" customWidth="1"/>
    <col min="4097" max="4097" width="10.28515625" bestFit="1" customWidth="1"/>
    <col min="4098" max="4099" width="9.28515625" bestFit="1" customWidth="1"/>
    <col min="4101" max="4101" width="10.28515625" bestFit="1" customWidth="1"/>
    <col min="4102" max="4103" width="9.28515625" bestFit="1" customWidth="1"/>
    <col min="4105" max="4105" width="10.28515625" bestFit="1" customWidth="1"/>
    <col min="4106" max="4107" width="9.28515625" bestFit="1" customWidth="1"/>
    <col min="4109" max="4109" width="10.28515625" bestFit="1" customWidth="1"/>
    <col min="4110" max="4111" width="9.28515625" bestFit="1" customWidth="1"/>
    <col min="4113" max="4113" width="10.28515625" bestFit="1" customWidth="1"/>
    <col min="4114" max="4115" width="9.28515625" bestFit="1" customWidth="1"/>
    <col min="4117" max="4117" width="10.28515625" bestFit="1" customWidth="1"/>
    <col min="4118" max="4119" width="9.28515625" bestFit="1" customWidth="1"/>
    <col min="4121" max="4121" width="10.28515625" bestFit="1" customWidth="1"/>
    <col min="4122" max="4123" width="9.28515625" bestFit="1" customWidth="1"/>
    <col min="4125" max="4125" width="10.28515625" bestFit="1" customWidth="1"/>
    <col min="4126" max="4127" width="9.28515625" bestFit="1" customWidth="1"/>
    <col min="4129" max="4129" width="10.28515625" bestFit="1" customWidth="1"/>
    <col min="4130" max="4131" width="9.28515625" bestFit="1" customWidth="1"/>
    <col min="4133" max="4133" width="10.28515625" bestFit="1" customWidth="1"/>
    <col min="4134" max="4135" width="9.28515625" bestFit="1" customWidth="1"/>
    <col min="4137" max="4137" width="10.28515625" bestFit="1" customWidth="1"/>
    <col min="4138" max="4139" width="9.28515625" bestFit="1" customWidth="1"/>
    <col min="4141" max="4141" width="10.28515625" bestFit="1" customWidth="1"/>
    <col min="4142" max="4143" width="9.28515625" bestFit="1" customWidth="1"/>
    <col min="4145" max="4145" width="10.28515625" bestFit="1" customWidth="1"/>
    <col min="4146" max="4147" width="9.28515625" bestFit="1" customWidth="1"/>
    <col min="4149" max="4149" width="10.28515625" bestFit="1" customWidth="1"/>
    <col min="4150" max="4151" width="9.28515625" bestFit="1" customWidth="1"/>
    <col min="4153" max="4153" width="10.28515625" bestFit="1" customWidth="1"/>
    <col min="4154" max="4155" width="9.28515625" bestFit="1" customWidth="1"/>
    <col min="4157" max="4157" width="10.28515625" bestFit="1" customWidth="1"/>
    <col min="4158" max="4159" width="9.28515625" bestFit="1" customWidth="1"/>
    <col min="4161" max="4161" width="10.28515625" bestFit="1" customWidth="1"/>
    <col min="4162" max="4163" width="9.28515625" bestFit="1" customWidth="1"/>
    <col min="4165" max="4165" width="10.28515625" bestFit="1" customWidth="1"/>
    <col min="4166" max="4167" width="9.28515625" bestFit="1" customWidth="1"/>
    <col min="4169" max="4169" width="10.28515625" bestFit="1" customWidth="1"/>
    <col min="4170" max="4171" width="9.28515625" bestFit="1" customWidth="1"/>
    <col min="4173" max="4173" width="10.28515625" bestFit="1" customWidth="1"/>
    <col min="4174" max="4175" width="9.28515625" bestFit="1" customWidth="1"/>
    <col min="4177" max="4177" width="10.28515625" bestFit="1" customWidth="1"/>
    <col min="4178" max="4179" width="9.28515625" bestFit="1" customWidth="1"/>
    <col min="4181" max="4181" width="10.28515625" bestFit="1" customWidth="1"/>
    <col min="4182" max="4183" width="9.28515625" bestFit="1" customWidth="1"/>
    <col min="4185" max="4185" width="10.28515625" bestFit="1" customWidth="1"/>
    <col min="4186" max="4187" width="9.28515625" bestFit="1" customWidth="1"/>
    <col min="4189" max="4189" width="10.28515625" bestFit="1" customWidth="1"/>
    <col min="4190" max="4191" width="9.28515625" bestFit="1" customWidth="1"/>
    <col min="4193" max="4193" width="10.28515625" bestFit="1" customWidth="1"/>
    <col min="4194" max="4195" width="9.28515625" bestFit="1" customWidth="1"/>
    <col min="4197" max="4197" width="10.28515625" bestFit="1" customWidth="1"/>
    <col min="4198" max="4199" width="9.28515625" bestFit="1" customWidth="1"/>
    <col min="4201" max="4201" width="10.28515625" bestFit="1" customWidth="1"/>
    <col min="4202" max="4203" width="9.28515625" bestFit="1" customWidth="1"/>
    <col min="4205" max="4205" width="10.28515625" bestFit="1" customWidth="1"/>
    <col min="4206" max="4207" width="9.28515625" bestFit="1" customWidth="1"/>
    <col min="4209" max="4209" width="10.28515625" bestFit="1" customWidth="1"/>
    <col min="4210" max="4211" width="9.28515625" bestFit="1" customWidth="1"/>
    <col min="4213" max="4213" width="10.28515625" bestFit="1" customWidth="1"/>
    <col min="4214" max="4215" width="9.28515625" bestFit="1" customWidth="1"/>
    <col min="4217" max="4217" width="10.28515625" bestFit="1" customWidth="1"/>
    <col min="4218" max="4219" width="9.28515625" bestFit="1" customWidth="1"/>
    <col min="4221" max="4221" width="10.28515625" bestFit="1" customWidth="1"/>
    <col min="4222" max="4223" width="9.28515625" bestFit="1" customWidth="1"/>
    <col min="4225" max="4225" width="10.28515625" bestFit="1" customWidth="1"/>
    <col min="4226" max="4227" width="9.28515625" bestFit="1" customWidth="1"/>
    <col min="4229" max="4229" width="10.28515625" bestFit="1" customWidth="1"/>
    <col min="4230" max="4231" width="9.28515625" bestFit="1" customWidth="1"/>
    <col min="4233" max="4233" width="10.28515625" bestFit="1" customWidth="1"/>
    <col min="4234" max="4235" width="9.28515625" bestFit="1" customWidth="1"/>
    <col min="4237" max="4237" width="10.28515625" bestFit="1" customWidth="1"/>
    <col min="4238" max="4239" width="9.28515625" bestFit="1" customWidth="1"/>
    <col min="4241" max="4241" width="10.28515625" bestFit="1" customWidth="1"/>
    <col min="4242" max="4243" width="9.28515625" bestFit="1" customWidth="1"/>
    <col min="4245" max="4245" width="10.28515625" bestFit="1" customWidth="1"/>
    <col min="4246" max="4247" width="9.28515625" bestFit="1" customWidth="1"/>
    <col min="4249" max="4249" width="10.28515625" bestFit="1" customWidth="1"/>
    <col min="4250" max="4251" width="9.28515625" bestFit="1" customWidth="1"/>
    <col min="4253" max="4253" width="10.28515625" bestFit="1" customWidth="1"/>
    <col min="4254" max="4255" width="9.28515625" bestFit="1" customWidth="1"/>
    <col min="4257" max="4257" width="10.28515625" bestFit="1" customWidth="1"/>
    <col min="4258" max="4259" width="9.28515625" bestFit="1" customWidth="1"/>
    <col min="4261" max="4261" width="10.28515625" bestFit="1" customWidth="1"/>
    <col min="4262" max="4263" width="9.28515625" bestFit="1" customWidth="1"/>
    <col min="4265" max="4265" width="10.28515625" bestFit="1" customWidth="1"/>
    <col min="4266" max="4267" width="9.28515625" bestFit="1" customWidth="1"/>
    <col min="4269" max="4269" width="10.28515625" bestFit="1" customWidth="1"/>
    <col min="4270" max="4271" width="9.28515625" bestFit="1" customWidth="1"/>
    <col min="4273" max="4273" width="10.28515625" bestFit="1" customWidth="1"/>
    <col min="4274" max="4275" width="9.28515625" bestFit="1" customWidth="1"/>
    <col min="4277" max="4277" width="10.28515625" bestFit="1" customWidth="1"/>
    <col min="4278" max="4279" width="9.28515625" bestFit="1" customWidth="1"/>
    <col min="4281" max="4281" width="10.28515625" bestFit="1" customWidth="1"/>
    <col min="4282" max="4283" width="9.28515625" bestFit="1" customWidth="1"/>
    <col min="4285" max="4285" width="10.28515625" bestFit="1" customWidth="1"/>
    <col min="4286" max="4287" width="9.28515625" bestFit="1" customWidth="1"/>
    <col min="4289" max="4289" width="10.28515625" bestFit="1" customWidth="1"/>
    <col min="4290" max="4291" width="9.28515625" bestFit="1" customWidth="1"/>
    <col min="4293" max="4293" width="10.28515625" bestFit="1" customWidth="1"/>
    <col min="4294" max="4295" width="9.28515625" bestFit="1" customWidth="1"/>
    <col min="4297" max="4297" width="10.28515625" bestFit="1" customWidth="1"/>
    <col min="4298" max="4299" width="9.28515625" bestFit="1" customWidth="1"/>
    <col min="4301" max="4301" width="10.28515625" bestFit="1" customWidth="1"/>
    <col min="4302" max="4303" width="9.28515625" bestFit="1" customWidth="1"/>
    <col min="4305" max="4305" width="10.28515625" bestFit="1" customWidth="1"/>
    <col min="4306" max="4307" width="9.28515625" bestFit="1" customWidth="1"/>
    <col min="4309" max="4309" width="10.28515625" bestFit="1" customWidth="1"/>
    <col min="4310" max="4311" width="9.28515625" bestFit="1" customWidth="1"/>
    <col min="4313" max="4313" width="10.28515625" bestFit="1" customWidth="1"/>
    <col min="4314" max="4315" width="9.28515625" bestFit="1" customWidth="1"/>
    <col min="4317" max="4317" width="10.28515625" bestFit="1" customWidth="1"/>
    <col min="4318" max="4319" width="9.28515625" bestFit="1" customWidth="1"/>
    <col min="4321" max="4321" width="10.28515625" bestFit="1" customWidth="1"/>
    <col min="4322" max="4323" width="9.28515625" bestFit="1" customWidth="1"/>
    <col min="4325" max="4325" width="10.28515625" bestFit="1" customWidth="1"/>
    <col min="4326" max="4327" width="9.28515625" bestFit="1" customWidth="1"/>
    <col min="4329" max="4329" width="10.28515625" bestFit="1" customWidth="1"/>
    <col min="4330" max="4331" width="9.28515625" bestFit="1" customWidth="1"/>
    <col min="4333" max="4333" width="10.28515625" bestFit="1" customWidth="1"/>
    <col min="4334" max="4335" width="9.28515625" bestFit="1" customWidth="1"/>
    <col min="4337" max="4337" width="10.28515625" bestFit="1" customWidth="1"/>
    <col min="4338" max="4339" width="9.28515625" bestFit="1" customWidth="1"/>
    <col min="4341" max="4341" width="10.28515625" bestFit="1" customWidth="1"/>
    <col min="4342" max="4343" width="9.28515625" bestFit="1" customWidth="1"/>
    <col min="4345" max="4345" width="10.28515625" bestFit="1" customWidth="1"/>
    <col min="4346" max="4347" width="9.28515625" bestFit="1" customWidth="1"/>
    <col min="4349" max="4349" width="10.28515625" bestFit="1" customWidth="1"/>
    <col min="4350" max="4351" width="9.28515625" bestFit="1" customWidth="1"/>
    <col min="4353" max="4353" width="10.28515625" bestFit="1" customWidth="1"/>
    <col min="4354" max="4355" width="9.28515625" bestFit="1" customWidth="1"/>
    <col min="4357" max="4357" width="10.28515625" bestFit="1" customWidth="1"/>
    <col min="4358" max="4359" width="9.28515625" bestFit="1" customWidth="1"/>
    <col min="4361" max="4361" width="10.28515625" bestFit="1" customWidth="1"/>
    <col min="4362" max="4363" width="9.28515625" bestFit="1" customWidth="1"/>
    <col min="4365" max="4365" width="10.28515625" bestFit="1" customWidth="1"/>
    <col min="4366" max="4367" width="9.28515625" bestFit="1" customWidth="1"/>
    <col min="4369" max="4369" width="10.28515625" bestFit="1" customWidth="1"/>
    <col min="4370" max="4371" width="9.28515625" bestFit="1" customWidth="1"/>
    <col min="4373" max="4373" width="10.28515625" bestFit="1" customWidth="1"/>
    <col min="4374" max="4375" width="9.28515625" bestFit="1" customWidth="1"/>
    <col min="4377" max="4377" width="10.28515625" bestFit="1" customWidth="1"/>
    <col min="4378" max="4379" width="9.28515625" bestFit="1" customWidth="1"/>
    <col min="4381" max="4381" width="10.28515625" bestFit="1" customWidth="1"/>
    <col min="4382" max="4383" width="9.28515625" bestFit="1" customWidth="1"/>
    <col min="4385" max="4385" width="10.28515625" bestFit="1" customWidth="1"/>
    <col min="4386" max="4387" width="9.28515625" bestFit="1" customWidth="1"/>
    <col min="4389" max="4389" width="10.28515625" bestFit="1" customWidth="1"/>
    <col min="4390" max="4391" width="9.28515625" bestFit="1" customWidth="1"/>
    <col min="4393" max="4393" width="10.28515625" bestFit="1" customWidth="1"/>
    <col min="4394" max="4395" width="9.28515625" bestFit="1" customWidth="1"/>
    <col min="4397" max="4397" width="10.28515625" bestFit="1" customWidth="1"/>
    <col min="4398" max="4399" width="9.28515625" bestFit="1" customWidth="1"/>
    <col min="4401" max="4401" width="10.28515625" bestFit="1" customWidth="1"/>
    <col min="4402" max="4403" width="9.28515625" bestFit="1" customWidth="1"/>
    <col min="4405" max="4405" width="10.28515625" bestFit="1" customWidth="1"/>
    <col min="4406" max="4407" width="9.28515625" bestFit="1" customWidth="1"/>
    <col min="4409" max="4409" width="10.28515625" bestFit="1" customWidth="1"/>
    <col min="4410" max="4411" width="9.28515625" bestFit="1" customWidth="1"/>
    <col min="4413" max="4413" width="10.28515625" bestFit="1" customWidth="1"/>
    <col min="4414" max="4415" width="9.28515625" bestFit="1" customWidth="1"/>
    <col min="4417" max="4417" width="10.28515625" bestFit="1" customWidth="1"/>
    <col min="4418" max="4419" width="9.28515625" bestFit="1" customWidth="1"/>
    <col min="4421" max="4421" width="10.28515625" bestFit="1" customWidth="1"/>
    <col min="4422" max="4423" width="9.28515625" bestFit="1" customWidth="1"/>
    <col min="4425" max="4425" width="10.28515625" bestFit="1" customWidth="1"/>
    <col min="4426" max="4427" width="9.28515625" bestFit="1" customWidth="1"/>
    <col min="4429" max="4429" width="10.28515625" bestFit="1" customWidth="1"/>
    <col min="4430" max="4431" width="9.28515625" bestFit="1" customWidth="1"/>
    <col min="4433" max="4433" width="10.28515625" bestFit="1" customWidth="1"/>
    <col min="4434" max="4435" width="9.28515625" bestFit="1" customWidth="1"/>
    <col min="4437" max="4437" width="10.28515625" bestFit="1" customWidth="1"/>
    <col min="4438" max="4439" width="9.28515625" bestFit="1" customWidth="1"/>
    <col min="4441" max="4441" width="10.28515625" bestFit="1" customWidth="1"/>
    <col min="4442" max="4443" width="9.28515625" bestFit="1" customWidth="1"/>
    <col min="4445" max="4445" width="10.28515625" bestFit="1" customWidth="1"/>
    <col min="4446" max="4447" width="9.28515625" bestFit="1" customWidth="1"/>
    <col min="4449" max="4449" width="10.28515625" bestFit="1" customWidth="1"/>
    <col min="4450" max="4451" width="9.28515625" bestFit="1" customWidth="1"/>
    <col min="4453" max="4453" width="10.28515625" bestFit="1" customWidth="1"/>
    <col min="4454" max="4455" width="9.28515625" bestFit="1" customWidth="1"/>
    <col min="4457" max="4457" width="10.28515625" bestFit="1" customWidth="1"/>
    <col min="4458" max="4459" width="9.28515625" bestFit="1" customWidth="1"/>
    <col min="4461" max="4461" width="10.28515625" bestFit="1" customWidth="1"/>
    <col min="4462" max="4463" width="9.28515625" bestFit="1" customWidth="1"/>
    <col min="4465" max="4465" width="10.28515625" bestFit="1" customWidth="1"/>
    <col min="4466" max="4467" width="9.28515625" bestFit="1" customWidth="1"/>
    <col min="4469" max="4469" width="10.28515625" bestFit="1" customWidth="1"/>
    <col min="4470" max="4471" width="9.28515625" bestFit="1" customWidth="1"/>
    <col min="4473" max="4473" width="10.28515625" bestFit="1" customWidth="1"/>
    <col min="4474" max="4475" width="9.28515625" bestFit="1" customWidth="1"/>
    <col min="4477" max="4477" width="10.28515625" bestFit="1" customWidth="1"/>
    <col min="4478" max="4479" width="9.28515625" bestFit="1" customWidth="1"/>
    <col min="4481" max="4481" width="10.28515625" bestFit="1" customWidth="1"/>
    <col min="4482" max="4483" width="9.28515625" bestFit="1" customWidth="1"/>
    <col min="4485" max="4485" width="10.28515625" bestFit="1" customWidth="1"/>
    <col min="4486" max="4487" width="9.28515625" bestFit="1" customWidth="1"/>
    <col min="4489" max="4489" width="10.28515625" bestFit="1" customWidth="1"/>
    <col min="4490" max="4491" width="9.28515625" bestFit="1" customWidth="1"/>
    <col min="4493" max="4493" width="10.28515625" bestFit="1" customWidth="1"/>
    <col min="4494" max="4495" width="9.28515625" bestFit="1" customWidth="1"/>
    <col min="4497" max="4497" width="10.28515625" bestFit="1" customWidth="1"/>
    <col min="4498" max="4499" width="9.28515625" bestFit="1" customWidth="1"/>
    <col min="4501" max="4501" width="10.28515625" bestFit="1" customWidth="1"/>
    <col min="4502" max="4503" width="9.28515625" bestFit="1" customWidth="1"/>
    <col min="4505" max="4505" width="10.28515625" bestFit="1" customWidth="1"/>
    <col min="4506" max="4507" width="9.28515625" bestFit="1" customWidth="1"/>
    <col min="4509" max="4509" width="10.28515625" bestFit="1" customWidth="1"/>
    <col min="4510" max="4511" width="9.28515625" bestFit="1" customWidth="1"/>
    <col min="4513" max="4513" width="10.28515625" bestFit="1" customWidth="1"/>
    <col min="4514" max="4515" width="9.28515625" bestFit="1" customWidth="1"/>
    <col min="4517" max="4517" width="10.28515625" bestFit="1" customWidth="1"/>
    <col min="4518" max="4519" width="9.28515625" bestFit="1" customWidth="1"/>
    <col min="4521" max="4521" width="10.28515625" bestFit="1" customWidth="1"/>
    <col min="4522" max="4523" width="9.28515625" bestFit="1" customWidth="1"/>
    <col min="4525" max="4525" width="10.28515625" bestFit="1" customWidth="1"/>
    <col min="4526" max="4527" width="9.28515625" bestFit="1" customWidth="1"/>
    <col min="4529" max="4529" width="10.28515625" bestFit="1" customWidth="1"/>
    <col min="4530" max="4531" width="9.28515625" bestFit="1" customWidth="1"/>
    <col min="4533" max="4533" width="10.28515625" bestFit="1" customWidth="1"/>
    <col min="4534" max="4535" width="9.28515625" bestFit="1" customWidth="1"/>
    <col min="4537" max="4537" width="10.28515625" bestFit="1" customWidth="1"/>
    <col min="4538" max="4539" width="9.28515625" bestFit="1" customWidth="1"/>
    <col min="4541" max="4541" width="10.28515625" bestFit="1" customWidth="1"/>
    <col min="4542" max="4543" width="9.28515625" bestFit="1" customWidth="1"/>
    <col min="4545" max="4545" width="10.28515625" bestFit="1" customWidth="1"/>
    <col min="4546" max="4547" width="9.28515625" bestFit="1" customWidth="1"/>
    <col min="4549" max="4549" width="10.28515625" bestFit="1" customWidth="1"/>
    <col min="4550" max="4551" width="9.28515625" bestFit="1" customWidth="1"/>
    <col min="4553" max="4553" width="10.28515625" bestFit="1" customWidth="1"/>
    <col min="4554" max="4555" width="9.28515625" bestFit="1" customWidth="1"/>
    <col min="4557" max="4557" width="10.28515625" bestFit="1" customWidth="1"/>
    <col min="4558" max="4559" width="9.28515625" bestFit="1" customWidth="1"/>
    <col min="4561" max="4561" width="10.28515625" bestFit="1" customWidth="1"/>
    <col min="4562" max="4563" width="9.28515625" bestFit="1" customWidth="1"/>
    <col min="4565" max="4565" width="10.28515625" bestFit="1" customWidth="1"/>
    <col min="4566" max="4567" width="9.28515625" bestFit="1" customWidth="1"/>
    <col min="4569" max="4569" width="10.28515625" bestFit="1" customWidth="1"/>
    <col min="4570" max="4571" width="9.28515625" bestFit="1" customWidth="1"/>
    <col min="4573" max="4573" width="10.28515625" bestFit="1" customWidth="1"/>
    <col min="4574" max="4575" width="9.28515625" bestFit="1" customWidth="1"/>
    <col min="4577" max="4577" width="10.28515625" bestFit="1" customWidth="1"/>
    <col min="4578" max="4579" width="9.28515625" bestFit="1" customWidth="1"/>
    <col min="4581" max="4581" width="10.28515625" bestFit="1" customWidth="1"/>
    <col min="4582" max="4583" width="9.28515625" bestFit="1" customWidth="1"/>
    <col min="4585" max="4585" width="10.28515625" bestFit="1" customWidth="1"/>
    <col min="4586" max="4587" width="9.28515625" bestFit="1" customWidth="1"/>
    <col min="4589" max="4589" width="10.28515625" bestFit="1" customWidth="1"/>
    <col min="4590" max="4591" width="9.28515625" bestFit="1" customWidth="1"/>
    <col min="4593" max="4593" width="10.28515625" bestFit="1" customWidth="1"/>
    <col min="4594" max="4595" width="9.28515625" bestFit="1" customWidth="1"/>
    <col min="4597" max="4597" width="10.28515625" bestFit="1" customWidth="1"/>
    <col min="4598" max="4599" width="9.28515625" bestFit="1" customWidth="1"/>
    <col min="4601" max="4601" width="10.28515625" bestFit="1" customWidth="1"/>
    <col min="4602" max="4603" width="9.28515625" bestFit="1" customWidth="1"/>
    <col min="4605" max="4605" width="10.28515625" bestFit="1" customWidth="1"/>
    <col min="4606" max="4607" width="9.28515625" bestFit="1" customWidth="1"/>
    <col min="4609" max="4609" width="10.28515625" bestFit="1" customWidth="1"/>
    <col min="4610" max="4611" width="9.28515625" bestFit="1" customWidth="1"/>
    <col min="4613" max="4613" width="10.28515625" bestFit="1" customWidth="1"/>
    <col min="4614" max="4615" width="9.28515625" bestFit="1" customWidth="1"/>
    <col min="4617" max="4617" width="10.28515625" bestFit="1" customWidth="1"/>
    <col min="4618" max="4619" width="9.28515625" bestFit="1" customWidth="1"/>
    <col min="4621" max="4621" width="10.28515625" bestFit="1" customWidth="1"/>
    <col min="4622" max="4623" width="9.28515625" bestFit="1" customWidth="1"/>
    <col min="4625" max="4625" width="10.28515625" bestFit="1" customWidth="1"/>
    <col min="4626" max="4627" width="9.28515625" bestFit="1" customWidth="1"/>
    <col min="4629" max="4629" width="10.28515625" bestFit="1" customWidth="1"/>
    <col min="4630" max="4631" width="9.28515625" bestFit="1" customWidth="1"/>
    <col min="4633" max="4633" width="10.28515625" bestFit="1" customWidth="1"/>
    <col min="4634" max="4635" width="9.28515625" bestFit="1" customWidth="1"/>
    <col min="4637" max="4637" width="10.28515625" bestFit="1" customWidth="1"/>
    <col min="4638" max="4639" width="9.28515625" bestFit="1" customWidth="1"/>
    <col min="4641" max="4641" width="10.28515625" bestFit="1" customWidth="1"/>
    <col min="4642" max="4643" width="9.28515625" bestFit="1" customWidth="1"/>
    <col min="4645" max="4645" width="10.28515625" bestFit="1" customWidth="1"/>
    <col min="4646" max="4647" width="9.28515625" bestFit="1" customWidth="1"/>
    <col min="4649" max="4649" width="10.28515625" bestFit="1" customWidth="1"/>
    <col min="4650" max="4651" width="9.28515625" bestFit="1" customWidth="1"/>
    <col min="4653" max="4653" width="10.28515625" bestFit="1" customWidth="1"/>
    <col min="4654" max="4655" width="9.28515625" bestFit="1" customWidth="1"/>
    <col min="4657" max="4657" width="10.28515625" bestFit="1" customWidth="1"/>
    <col min="4658" max="4659" width="9.28515625" bestFit="1" customWidth="1"/>
    <col min="4661" max="4661" width="10.28515625" bestFit="1" customWidth="1"/>
    <col min="4662" max="4663" width="9.28515625" bestFit="1" customWidth="1"/>
    <col min="4665" max="4665" width="10.28515625" bestFit="1" customWidth="1"/>
    <col min="4666" max="4667" width="9.28515625" bestFit="1" customWidth="1"/>
    <col min="4669" max="4669" width="10.28515625" bestFit="1" customWidth="1"/>
    <col min="4670" max="4671" width="9.28515625" bestFit="1" customWidth="1"/>
    <col min="4673" max="4673" width="10.28515625" bestFit="1" customWidth="1"/>
    <col min="4674" max="4675" width="9.28515625" bestFit="1" customWidth="1"/>
    <col min="4677" max="4677" width="10.28515625" bestFit="1" customWidth="1"/>
    <col min="4678" max="4679" width="9.28515625" bestFit="1" customWidth="1"/>
    <col min="4681" max="4681" width="10.28515625" bestFit="1" customWidth="1"/>
    <col min="4682" max="4683" width="9.28515625" bestFit="1" customWidth="1"/>
    <col min="4685" max="4685" width="10.28515625" bestFit="1" customWidth="1"/>
    <col min="4686" max="4687" width="9.28515625" bestFit="1" customWidth="1"/>
    <col min="4689" max="4689" width="10.28515625" bestFit="1" customWidth="1"/>
    <col min="4690" max="4691" width="9.28515625" bestFit="1" customWidth="1"/>
    <col min="4693" max="4693" width="10.28515625" bestFit="1" customWidth="1"/>
    <col min="4694" max="4695" width="9.28515625" bestFit="1" customWidth="1"/>
    <col min="4697" max="4697" width="10.28515625" bestFit="1" customWidth="1"/>
    <col min="4698" max="4699" width="9.28515625" bestFit="1" customWidth="1"/>
    <col min="4701" max="4701" width="10.28515625" bestFit="1" customWidth="1"/>
    <col min="4702" max="4703" width="9.28515625" bestFit="1" customWidth="1"/>
    <col min="4705" max="4705" width="10.28515625" bestFit="1" customWidth="1"/>
    <col min="4706" max="4707" width="9.28515625" bestFit="1" customWidth="1"/>
    <col min="4709" max="4709" width="10.28515625" bestFit="1" customWidth="1"/>
    <col min="4710" max="4711" width="9.28515625" bestFit="1" customWidth="1"/>
    <col min="4713" max="4713" width="10.28515625" bestFit="1" customWidth="1"/>
    <col min="4714" max="4715" width="9.28515625" bestFit="1" customWidth="1"/>
    <col min="4717" max="4717" width="10.28515625" bestFit="1" customWidth="1"/>
    <col min="4718" max="4719" width="9.28515625" bestFit="1" customWidth="1"/>
    <col min="4721" max="4721" width="10.28515625" bestFit="1" customWidth="1"/>
    <col min="4722" max="4723" width="9.28515625" bestFit="1" customWidth="1"/>
    <col min="4725" max="4725" width="10.28515625" bestFit="1" customWidth="1"/>
    <col min="4726" max="4727" width="9.28515625" bestFit="1" customWidth="1"/>
    <col min="4729" max="4729" width="10.28515625" bestFit="1" customWidth="1"/>
    <col min="4730" max="4731" width="9.28515625" bestFit="1" customWidth="1"/>
    <col min="4733" max="4733" width="10.28515625" bestFit="1" customWidth="1"/>
    <col min="4734" max="4735" width="9.28515625" bestFit="1" customWidth="1"/>
    <col min="4737" max="4737" width="10.28515625" bestFit="1" customWidth="1"/>
    <col min="4738" max="4739" width="9.28515625" bestFit="1" customWidth="1"/>
    <col min="4741" max="4741" width="10.28515625" bestFit="1" customWidth="1"/>
    <col min="4742" max="4743" width="9.28515625" bestFit="1" customWidth="1"/>
    <col min="4745" max="4745" width="10.28515625" bestFit="1" customWidth="1"/>
    <col min="4746" max="4747" width="9.28515625" bestFit="1" customWidth="1"/>
    <col min="4749" max="4749" width="10.28515625" bestFit="1" customWidth="1"/>
    <col min="4750" max="4751" width="9.28515625" bestFit="1" customWidth="1"/>
    <col min="4753" max="4753" width="10.28515625" bestFit="1" customWidth="1"/>
    <col min="4754" max="4755" width="9.28515625" bestFit="1" customWidth="1"/>
    <col min="4757" max="4757" width="10.28515625" bestFit="1" customWidth="1"/>
    <col min="4758" max="4759" width="9.28515625" bestFit="1" customWidth="1"/>
    <col min="4761" max="4761" width="10.28515625" bestFit="1" customWidth="1"/>
    <col min="4762" max="4763" width="9.28515625" bestFit="1" customWidth="1"/>
    <col min="4765" max="4765" width="10.28515625" bestFit="1" customWidth="1"/>
    <col min="4766" max="4767" width="9.28515625" bestFit="1" customWidth="1"/>
    <col min="4769" max="4769" width="10.28515625" bestFit="1" customWidth="1"/>
    <col min="4770" max="4771" width="9.28515625" bestFit="1" customWidth="1"/>
    <col min="4773" max="4773" width="10.28515625" bestFit="1" customWidth="1"/>
    <col min="4774" max="4775" width="9.28515625" bestFit="1" customWidth="1"/>
    <col min="4777" max="4777" width="10.28515625" bestFit="1" customWidth="1"/>
    <col min="4778" max="4779" width="9.28515625" bestFit="1" customWidth="1"/>
    <col min="4781" max="4781" width="10.28515625" bestFit="1" customWidth="1"/>
    <col min="4782" max="4783" width="9.28515625" bestFit="1" customWidth="1"/>
    <col min="4785" max="4785" width="10.28515625" bestFit="1" customWidth="1"/>
    <col min="4786" max="4787" width="9.28515625" bestFit="1" customWidth="1"/>
    <col min="4789" max="4789" width="10.28515625" bestFit="1" customWidth="1"/>
    <col min="4790" max="4791" width="9.28515625" bestFit="1" customWidth="1"/>
    <col min="4793" max="4793" width="10.28515625" bestFit="1" customWidth="1"/>
    <col min="4794" max="4795" width="9.28515625" bestFit="1" customWidth="1"/>
    <col min="4797" max="4797" width="10.28515625" bestFit="1" customWidth="1"/>
    <col min="4798" max="4799" width="9.28515625" bestFit="1" customWidth="1"/>
    <col min="4801" max="4801" width="10.28515625" bestFit="1" customWidth="1"/>
    <col min="4802" max="4803" width="9.28515625" bestFit="1" customWidth="1"/>
    <col min="4805" max="4805" width="10.28515625" bestFit="1" customWidth="1"/>
    <col min="4806" max="4807" width="9.28515625" bestFit="1" customWidth="1"/>
    <col min="4809" max="4809" width="10.28515625" bestFit="1" customWidth="1"/>
    <col min="4810" max="4811" width="9.28515625" bestFit="1" customWidth="1"/>
    <col min="4813" max="4813" width="10.28515625" bestFit="1" customWidth="1"/>
    <col min="4814" max="4815" width="9.28515625" bestFit="1" customWidth="1"/>
    <col min="4817" max="4817" width="10.28515625" bestFit="1" customWidth="1"/>
    <col min="4818" max="4819" width="9.28515625" bestFit="1" customWidth="1"/>
    <col min="4821" max="4821" width="10.28515625" bestFit="1" customWidth="1"/>
    <col min="4822" max="4823" width="9.28515625" bestFit="1" customWidth="1"/>
    <col min="4825" max="4825" width="10.28515625" bestFit="1" customWidth="1"/>
    <col min="4826" max="4827" width="9.28515625" bestFit="1" customWidth="1"/>
    <col min="4829" max="4829" width="10.28515625" bestFit="1" customWidth="1"/>
    <col min="4830" max="4831" width="9.28515625" bestFit="1" customWidth="1"/>
    <col min="4833" max="4833" width="10.28515625" bestFit="1" customWidth="1"/>
    <col min="4834" max="4835" width="9.28515625" bestFit="1" customWidth="1"/>
    <col min="4837" max="4837" width="10.28515625" bestFit="1" customWidth="1"/>
    <col min="4838" max="4839" width="9.28515625" bestFit="1" customWidth="1"/>
    <col min="4841" max="4841" width="10.28515625" bestFit="1" customWidth="1"/>
    <col min="4842" max="4843" width="9.28515625" bestFit="1" customWidth="1"/>
    <col min="4845" max="4845" width="10.28515625" bestFit="1" customWidth="1"/>
    <col min="4846" max="4847" width="9.28515625" bestFit="1" customWidth="1"/>
    <col min="4849" max="4849" width="10.28515625" bestFit="1" customWidth="1"/>
    <col min="4850" max="4851" width="9.28515625" bestFit="1" customWidth="1"/>
    <col min="4853" max="4853" width="10.28515625" bestFit="1" customWidth="1"/>
    <col min="4854" max="4855" width="9.28515625" bestFit="1" customWidth="1"/>
    <col min="4857" max="4857" width="10.28515625" bestFit="1" customWidth="1"/>
    <col min="4858" max="4859" width="9.28515625" bestFit="1" customWidth="1"/>
    <col min="4861" max="4861" width="10.28515625" bestFit="1" customWidth="1"/>
    <col min="4862" max="4863" width="9.28515625" bestFit="1" customWidth="1"/>
    <col min="4865" max="4865" width="10.28515625" bestFit="1" customWidth="1"/>
    <col min="4866" max="4867" width="9.28515625" bestFit="1" customWidth="1"/>
    <col min="4869" max="4869" width="10.28515625" bestFit="1" customWidth="1"/>
    <col min="4870" max="4871" width="9.28515625" bestFit="1" customWidth="1"/>
    <col min="4873" max="4873" width="10.28515625" bestFit="1" customWidth="1"/>
    <col min="4874" max="4875" width="9.28515625" bestFit="1" customWidth="1"/>
    <col min="4877" max="4877" width="10.28515625" bestFit="1" customWidth="1"/>
    <col min="4878" max="4879" width="9.28515625" bestFit="1" customWidth="1"/>
    <col min="4881" max="4881" width="10.28515625" bestFit="1" customWidth="1"/>
    <col min="4882" max="4883" width="9.28515625" bestFit="1" customWidth="1"/>
    <col min="4885" max="4885" width="10.28515625" bestFit="1" customWidth="1"/>
    <col min="4886" max="4887" width="9.28515625" bestFit="1" customWidth="1"/>
    <col min="4889" max="4889" width="10.28515625" bestFit="1" customWidth="1"/>
    <col min="4890" max="4891" width="9.28515625" bestFit="1" customWidth="1"/>
    <col min="4893" max="4893" width="10.28515625" bestFit="1" customWidth="1"/>
    <col min="4894" max="4895" width="9.28515625" bestFit="1" customWidth="1"/>
    <col min="4897" max="4897" width="10.28515625" bestFit="1" customWidth="1"/>
    <col min="4898" max="4899" width="9.28515625" bestFit="1" customWidth="1"/>
    <col min="4901" max="4901" width="10.28515625" bestFit="1" customWidth="1"/>
    <col min="4902" max="4903" width="9.28515625" bestFit="1" customWidth="1"/>
    <col min="4905" max="4905" width="10.28515625" bestFit="1" customWidth="1"/>
    <col min="4906" max="4907" width="9.28515625" bestFit="1" customWidth="1"/>
    <col min="4909" max="4909" width="10.28515625" bestFit="1" customWidth="1"/>
    <col min="4910" max="4911" width="9.28515625" bestFit="1" customWidth="1"/>
    <col min="4913" max="4913" width="10.28515625" bestFit="1" customWidth="1"/>
    <col min="4914" max="4915" width="9.28515625" bestFit="1" customWidth="1"/>
    <col min="4917" max="4917" width="10.28515625" bestFit="1" customWidth="1"/>
    <col min="4918" max="4919" width="9.28515625" bestFit="1" customWidth="1"/>
    <col min="4921" max="4921" width="10.28515625" bestFit="1" customWidth="1"/>
    <col min="4922" max="4923" width="9.28515625" bestFit="1" customWidth="1"/>
    <col min="4925" max="4925" width="10.28515625" bestFit="1" customWidth="1"/>
    <col min="4926" max="4927" width="9.28515625" bestFit="1" customWidth="1"/>
    <col min="4929" max="4929" width="10.28515625" bestFit="1" customWidth="1"/>
    <col min="4930" max="4931" width="9.28515625" bestFit="1" customWidth="1"/>
    <col min="4933" max="4933" width="10.28515625" bestFit="1" customWidth="1"/>
    <col min="4934" max="4935" width="9.28515625" bestFit="1" customWidth="1"/>
    <col min="4937" max="4937" width="10.28515625" bestFit="1" customWidth="1"/>
    <col min="4938" max="4939" width="9.28515625" bestFit="1" customWidth="1"/>
    <col min="4941" max="4941" width="10.28515625" bestFit="1" customWidth="1"/>
    <col min="4942" max="4943" width="9.28515625" bestFit="1" customWidth="1"/>
    <col min="4945" max="4945" width="10.28515625" bestFit="1" customWidth="1"/>
    <col min="4946" max="4947" width="9.28515625" bestFit="1" customWidth="1"/>
    <col min="4949" max="4949" width="10.28515625" bestFit="1" customWidth="1"/>
    <col min="4950" max="4951" width="9.28515625" bestFit="1" customWidth="1"/>
    <col min="4953" max="4953" width="10.28515625" bestFit="1" customWidth="1"/>
    <col min="4954" max="4955" width="9.28515625" bestFit="1" customWidth="1"/>
    <col min="4957" max="4957" width="10.28515625" bestFit="1" customWidth="1"/>
    <col min="4958" max="4959" width="9.28515625" bestFit="1" customWidth="1"/>
    <col min="4961" max="4961" width="10.28515625" bestFit="1" customWidth="1"/>
    <col min="4962" max="4963" width="9.28515625" bestFit="1" customWidth="1"/>
    <col min="4965" max="4965" width="10.28515625" bestFit="1" customWidth="1"/>
    <col min="4966" max="4967" width="9.28515625" bestFit="1" customWidth="1"/>
    <col min="4969" max="4969" width="10.28515625" bestFit="1" customWidth="1"/>
    <col min="4970" max="4971" width="9.28515625" bestFit="1" customWidth="1"/>
    <col min="4973" max="4973" width="10.28515625" bestFit="1" customWidth="1"/>
    <col min="4974" max="4975" width="9.28515625" bestFit="1" customWidth="1"/>
    <col min="4977" max="4977" width="10.28515625" bestFit="1" customWidth="1"/>
    <col min="4978" max="4979" width="9.28515625" bestFit="1" customWidth="1"/>
    <col min="4981" max="4981" width="10.28515625" bestFit="1" customWidth="1"/>
    <col min="4982" max="4983" width="9.28515625" bestFit="1" customWidth="1"/>
    <col min="4985" max="4985" width="10.28515625" bestFit="1" customWidth="1"/>
    <col min="4986" max="4987" width="9.28515625" bestFit="1" customWidth="1"/>
    <col min="4989" max="4989" width="10.28515625" bestFit="1" customWidth="1"/>
    <col min="4990" max="4991" width="9.28515625" bestFit="1" customWidth="1"/>
    <col min="4993" max="4993" width="10.28515625" bestFit="1" customWidth="1"/>
    <col min="4994" max="4995" width="9.28515625" bestFit="1" customWidth="1"/>
    <col min="4997" max="4997" width="10.28515625" bestFit="1" customWidth="1"/>
    <col min="4998" max="4999" width="9.28515625" bestFit="1" customWidth="1"/>
    <col min="5001" max="5001" width="10.28515625" bestFit="1" customWidth="1"/>
    <col min="5002" max="5003" width="9.28515625" bestFit="1" customWidth="1"/>
    <col min="5005" max="5005" width="10.28515625" bestFit="1" customWidth="1"/>
    <col min="5006" max="5007" width="9.28515625" bestFit="1" customWidth="1"/>
    <col min="5009" max="5009" width="10.28515625" bestFit="1" customWidth="1"/>
    <col min="5010" max="5011" width="9.28515625" bestFit="1" customWidth="1"/>
    <col min="5013" max="5013" width="10.28515625" bestFit="1" customWidth="1"/>
    <col min="5014" max="5015" width="9.28515625" bestFit="1" customWidth="1"/>
    <col min="5017" max="5017" width="10.28515625" bestFit="1" customWidth="1"/>
    <col min="5018" max="5019" width="9.28515625" bestFit="1" customWidth="1"/>
    <col min="5021" max="5021" width="10.28515625" bestFit="1" customWidth="1"/>
    <col min="5022" max="5023" width="9.28515625" bestFit="1" customWidth="1"/>
    <col min="5025" max="5025" width="10.28515625" bestFit="1" customWidth="1"/>
    <col min="5026" max="5027" width="9.28515625" bestFit="1" customWidth="1"/>
    <col min="5029" max="5029" width="10.28515625" bestFit="1" customWidth="1"/>
    <col min="5030" max="5031" width="9.28515625" bestFit="1" customWidth="1"/>
    <col min="5033" max="5033" width="10.28515625" bestFit="1" customWidth="1"/>
    <col min="5034" max="5035" width="9.28515625" bestFit="1" customWidth="1"/>
    <col min="5037" max="5037" width="10.28515625" bestFit="1" customWidth="1"/>
    <col min="5038" max="5039" width="9.28515625" bestFit="1" customWidth="1"/>
    <col min="5041" max="5041" width="10.28515625" bestFit="1" customWidth="1"/>
    <col min="5042" max="5043" width="9.28515625" bestFit="1" customWidth="1"/>
    <col min="5045" max="5045" width="10.28515625" bestFit="1" customWidth="1"/>
    <col min="5046" max="5047" width="9.28515625" bestFit="1" customWidth="1"/>
    <col min="5049" max="5049" width="10.28515625" bestFit="1" customWidth="1"/>
    <col min="5050" max="5051" width="9.28515625" bestFit="1" customWidth="1"/>
    <col min="5053" max="5053" width="10.28515625" bestFit="1" customWidth="1"/>
    <col min="5054" max="5055" width="9.28515625" bestFit="1" customWidth="1"/>
    <col min="5057" max="5057" width="10.28515625" bestFit="1" customWidth="1"/>
    <col min="5058" max="5059" width="9.28515625" bestFit="1" customWidth="1"/>
    <col min="5061" max="5061" width="10.28515625" bestFit="1" customWidth="1"/>
    <col min="5062" max="5063" width="9.28515625" bestFit="1" customWidth="1"/>
    <col min="5065" max="5065" width="10.28515625" bestFit="1" customWidth="1"/>
    <col min="5066" max="5067" width="9.28515625" bestFit="1" customWidth="1"/>
    <col min="5069" max="5069" width="10.28515625" bestFit="1" customWidth="1"/>
    <col min="5070" max="5071" width="9.28515625" bestFit="1" customWidth="1"/>
    <col min="5073" max="5073" width="10.28515625" bestFit="1" customWidth="1"/>
    <col min="5074" max="5075" width="9.28515625" bestFit="1" customWidth="1"/>
    <col min="5077" max="5077" width="10.28515625" bestFit="1" customWidth="1"/>
    <col min="5078" max="5079" width="9.28515625" bestFit="1" customWidth="1"/>
    <col min="5081" max="5081" width="10.28515625" bestFit="1" customWidth="1"/>
    <col min="5082" max="5083" width="9.28515625" bestFit="1" customWidth="1"/>
    <col min="5085" max="5085" width="10.28515625" bestFit="1" customWidth="1"/>
    <col min="5086" max="5087" width="9.28515625" bestFit="1" customWidth="1"/>
    <col min="5089" max="5089" width="10.28515625" bestFit="1" customWidth="1"/>
    <col min="5090" max="5091" width="9.28515625" bestFit="1" customWidth="1"/>
    <col min="5093" max="5093" width="10.28515625" bestFit="1" customWidth="1"/>
    <col min="5094" max="5095" width="9.28515625" bestFit="1" customWidth="1"/>
    <col min="5097" max="5097" width="10.28515625" bestFit="1" customWidth="1"/>
    <col min="5098" max="5099" width="9.28515625" bestFit="1" customWidth="1"/>
    <col min="5101" max="5101" width="10.28515625" bestFit="1" customWidth="1"/>
    <col min="5102" max="5103" width="9.28515625" bestFit="1" customWidth="1"/>
    <col min="5105" max="5105" width="10.28515625" bestFit="1" customWidth="1"/>
    <col min="5106" max="5107" width="9.28515625" bestFit="1" customWidth="1"/>
    <col min="5109" max="5109" width="10.28515625" bestFit="1" customWidth="1"/>
    <col min="5110" max="5111" width="9.28515625" bestFit="1" customWidth="1"/>
    <col min="5113" max="5113" width="10.28515625" bestFit="1" customWidth="1"/>
    <col min="5114" max="5115" width="9.28515625" bestFit="1" customWidth="1"/>
    <col min="5117" max="5117" width="10.28515625" bestFit="1" customWidth="1"/>
    <col min="5118" max="5119" width="9.28515625" bestFit="1" customWidth="1"/>
    <col min="5121" max="5121" width="10.28515625" bestFit="1" customWidth="1"/>
    <col min="5122" max="5123" width="9.28515625" bestFit="1" customWidth="1"/>
    <col min="5125" max="5125" width="10.28515625" bestFit="1" customWidth="1"/>
    <col min="5126" max="5127" width="9.28515625" bestFit="1" customWidth="1"/>
    <col min="5129" max="5129" width="10.28515625" bestFit="1" customWidth="1"/>
    <col min="5130" max="5131" width="9.28515625" bestFit="1" customWidth="1"/>
    <col min="5133" max="5133" width="10.28515625" bestFit="1" customWidth="1"/>
    <col min="5134" max="5135" width="9.28515625" bestFit="1" customWidth="1"/>
    <col min="5137" max="5137" width="10.28515625" bestFit="1" customWidth="1"/>
    <col min="5138" max="5139" width="9.28515625" bestFit="1" customWidth="1"/>
    <col min="5141" max="5141" width="10.28515625" bestFit="1" customWidth="1"/>
    <col min="5142" max="5143" width="9.28515625" bestFit="1" customWidth="1"/>
    <col min="5145" max="5145" width="10.28515625" bestFit="1" customWidth="1"/>
    <col min="5146" max="5147" width="9.28515625" bestFit="1" customWidth="1"/>
    <col min="5149" max="5149" width="10.28515625" bestFit="1" customWidth="1"/>
    <col min="5150" max="5151" width="9.28515625" bestFit="1" customWidth="1"/>
    <col min="5153" max="5153" width="10.28515625" bestFit="1" customWidth="1"/>
    <col min="5154" max="5155" width="9.28515625" bestFit="1" customWidth="1"/>
    <col min="5157" max="5157" width="10.28515625" bestFit="1" customWidth="1"/>
    <col min="5158" max="5159" width="9.28515625" bestFit="1" customWidth="1"/>
    <col min="5161" max="5161" width="10.28515625" bestFit="1" customWidth="1"/>
    <col min="5162" max="5163" width="9.28515625" bestFit="1" customWidth="1"/>
    <col min="5165" max="5165" width="10.28515625" bestFit="1" customWidth="1"/>
    <col min="5166" max="5167" width="9.28515625" bestFit="1" customWidth="1"/>
    <col min="5169" max="5169" width="10.28515625" bestFit="1" customWidth="1"/>
    <col min="5170" max="5171" width="9.28515625" bestFit="1" customWidth="1"/>
    <col min="5173" max="5173" width="10.28515625" bestFit="1" customWidth="1"/>
    <col min="5174" max="5175" width="9.28515625" bestFit="1" customWidth="1"/>
    <col min="5177" max="5177" width="10.28515625" bestFit="1" customWidth="1"/>
    <col min="5178" max="5179" width="9.28515625" bestFit="1" customWidth="1"/>
    <col min="5181" max="5181" width="10.28515625" bestFit="1" customWidth="1"/>
    <col min="5182" max="5183" width="9.28515625" bestFit="1" customWidth="1"/>
    <col min="5185" max="5185" width="10.28515625" bestFit="1" customWidth="1"/>
    <col min="5186" max="5187" width="9.28515625" bestFit="1" customWidth="1"/>
    <col min="5189" max="5189" width="10.28515625" bestFit="1" customWidth="1"/>
    <col min="5190" max="5191" width="9.28515625" bestFit="1" customWidth="1"/>
    <col min="5193" max="5193" width="10.28515625" bestFit="1" customWidth="1"/>
    <col min="5194" max="5195" width="9.28515625" bestFit="1" customWidth="1"/>
    <col min="5197" max="5197" width="10.28515625" bestFit="1" customWidth="1"/>
    <col min="5198" max="5199" width="9.28515625" bestFit="1" customWidth="1"/>
    <col min="5201" max="5201" width="10.28515625" bestFit="1" customWidth="1"/>
    <col min="5202" max="5203" width="9.28515625" bestFit="1" customWidth="1"/>
    <col min="5205" max="5205" width="10.28515625" bestFit="1" customWidth="1"/>
    <col min="5206" max="5207" width="9.28515625" bestFit="1" customWidth="1"/>
    <col min="5209" max="5209" width="10.28515625" bestFit="1" customWidth="1"/>
    <col min="5210" max="5211" width="9.28515625" bestFit="1" customWidth="1"/>
    <col min="5213" max="5213" width="10.28515625" bestFit="1" customWidth="1"/>
    <col min="5214" max="5215" width="9.28515625" bestFit="1" customWidth="1"/>
    <col min="5217" max="5217" width="10.28515625" bestFit="1" customWidth="1"/>
    <col min="5218" max="5219" width="9.28515625" bestFit="1" customWidth="1"/>
    <col min="5221" max="5221" width="10.28515625" bestFit="1" customWidth="1"/>
    <col min="5222" max="5223" width="9.28515625" bestFit="1" customWidth="1"/>
    <col min="5225" max="5225" width="10.28515625" bestFit="1" customWidth="1"/>
    <col min="5226" max="5227" width="9.28515625" bestFit="1" customWidth="1"/>
    <col min="5229" max="5229" width="10.28515625" bestFit="1" customWidth="1"/>
    <col min="5230" max="5231" width="9.28515625" bestFit="1" customWidth="1"/>
    <col min="5233" max="5233" width="10.28515625" bestFit="1" customWidth="1"/>
    <col min="5234" max="5235" width="9.28515625" bestFit="1" customWidth="1"/>
    <col min="5237" max="5237" width="10.28515625" bestFit="1" customWidth="1"/>
    <col min="5238" max="5239" width="9.28515625" bestFit="1" customWidth="1"/>
    <col min="5241" max="5241" width="10.28515625" bestFit="1" customWidth="1"/>
    <col min="5242" max="5243" width="9.28515625" bestFit="1" customWidth="1"/>
    <col min="5245" max="5245" width="10.28515625" bestFit="1" customWidth="1"/>
    <col min="5246" max="5247" width="9.28515625" bestFit="1" customWidth="1"/>
    <col min="5249" max="5249" width="10.28515625" bestFit="1" customWidth="1"/>
    <col min="5250" max="5251" width="9.28515625" bestFit="1" customWidth="1"/>
    <col min="5253" max="5253" width="10.28515625" bestFit="1" customWidth="1"/>
    <col min="5254" max="5255" width="9.28515625" bestFit="1" customWidth="1"/>
    <col min="5257" max="5257" width="10.28515625" bestFit="1" customWidth="1"/>
    <col min="5258" max="5259" width="9.28515625" bestFit="1" customWidth="1"/>
    <col min="5261" max="5261" width="10.28515625" bestFit="1" customWidth="1"/>
    <col min="5262" max="5263" width="9.28515625" bestFit="1" customWidth="1"/>
    <col min="5265" max="5265" width="10.28515625" bestFit="1" customWidth="1"/>
    <col min="5266" max="5267" width="9.28515625" bestFit="1" customWidth="1"/>
    <col min="5269" max="5269" width="10.28515625" bestFit="1" customWidth="1"/>
    <col min="5270" max="5271" width="9.28515625" bestFit="1" customWidth="1"/>
    <col min="5273" max="5273" width="10.28515625" bestFit="1" customWidth="1"/>
    <col min="5274" max="5275" width="9.28515625" bestFit="1" customWidth="1"/>
    <col min="5277" max="5277" width="10.28515625" bestFit="1" customWidth="1"/>
    <col min="5278" max="5279" width="9.28515625" bestFit="1" customWidth="1"/>
    <col min="5281" max="5281" width="10.28515625" bestFit="1" customWidth="1"/>
    <col min="5282" max="5283" width="9.28515625" bestFit="1" customWidth="1"/>
    <col min="5285" max="5285" width="10.28515625" bestFit="1" customWidth="1"/>
    <col min="5286" max="5287" width="9.28515625" bestFit="1" customWidth="1"/>
    <col min="5289" max="5289" width="10.28515625" bestFit="1" customWidth="1"/>
    <col min="5290" max="5291" width="9.28515625" bestFit="1" customWidth="1"/>
    <col min="5293" max="5293" width="10.28515625" bestFit="1" customWidth="1"/>
    <col min="5294" max="5295" width="9.28515625" bestFit="1" customWidth="1"/>
    <col min="5297" max="5297" width="10.28515625" bestFit="1" customWidth="1"/>
    <col min="5298" max="5299" width="9.28515625" bestFit="1" customWidth="1"/>
    <col min="5301" max="5301" width="10.28515625" bestFit="1" customWidth="1"/>
    <col min="5302" max="5303" width="9.28515625" bestFit="1" customWidth="1"/>
    <col min="5305" max="5305" width="10.28515625" bestFit="1" customWidth="1"/>
    <col min="5306" max="5307" width="9.28515625" bestFit="1" customWidth="1"/>
    <col min="5309" max="5309" width="10.28515625" bestFit="1" customWidth="1"/>
    <col min="5310" max="5311" width="9.28515625" bestFit="1" customWidth="1"/>
    <col min="5313" max="5313" width="10.28515625" bestFit="1" customWidth="1"/>
    <col min="5314" max="5315" width="9.28515625" bestFit="1" customWidth="1"/>
    <col min="5317" max="5317" width="10.28515625" bestFit="1" customWidth="1"/>
    <col min="5318" max="5319" width="9.28515625" bestFit="1" customWidth="1"/>
    <col min="5321" max="5321" width="10.28515625" bestFit="1" customWidth="1"/>
    <col min="5322" max="5323" width="9.28515625" bestFit="1" customWidth="1"/>
    <col min="5325" max="5325" width="10.28515625" bestFit="1" customWidth="1"/>
    <col min="5326" max="5327" width="9.28515625" bestFit="1" customWidth="1"/>
    <col min="5329" max="5329" width="10.28515625" bestFit="1" customWidth="1"/>
    <col min="5330" max="5331" width="9.28515625" bestFit="1" customWidth="1"/>
    <col min="5333" max="5333" width="10.28515625" bestFit="1" customWidth="1"/>
    <col min="5334" max="5335" width="9.28515625" bestFit="1" customWidth="1"/>
    <col min="5337" max="5337" width="10.28515625" bestFit="1" customWidth="1"/>
    <col min="5338" max="5339" width="9.28515625" bestFit="1" customWidth="1"/>
    <col min="5341" max="5341" width="10.28515625" bestFit="1" customWidth="1"/>
    <col min="5342" max="5343" width="9.28515625" bestFit="1" customWidth="1"/>
    <col min="5345" max="5345" width="10.28515625" bestFit="1" customWidth="1"/>
    <col min="5346" max="5347" width="9.28515625" bestFit="1" customWidth="1"/>
    <col min="5349" max="5349" width="10.28515625" bestFit="1" customWidth="1"/>
    <col min="5350" max="5351" width="9.28515625" bestFit="1" customWidth="1"/>
    <col min="5353" max="5353" width="10.28515625" bestFit="1" customWidth="1"/>
    <col min="5354" max="5355" width="9.28515625" bestFit="1" customWidth="1"/>
    <col min="5357" max="5357" width="10.28515625" bestFit="1" customWidth="1"/>
    <col min="5358" max="5359" width="9.28515625" bestFit="1" customWidth="1"/>
    <col min="5361" max="5361" width="10.28515625" bestFit="1" customWidth="1"/>
    <col min="5362" max="5363" width="9.28515625" bestFit="1" customWidth="1"/>
    <col min="5365" max="5365" width="10.28515625" bestFit="1" customWidth="1"/>
    <col min="5366" max="5367" width="9.28515625" bestFit="1" customWidth="1"/>
    <col min="5369" max="5369" width="10.28515625" bestFit="1" customWidth="1"/>
    <col min="5370" max="5371" width="9.28515625" bestFit="1" customWidth="1"/>
    <col min="5373" max="5373" width="10.28515625" bestFit="1" customWidth="1"/>
    <col min="5374" max="5375" width="9.28515625" bestFit="1" customWidth="1"/>
    <col min="5377" max="5377" width="10.28515625" bestFit="1" customWidth="1"/>
    <col min="5378" max="5379" width="9.28515625" bestFit="1" customWidth="1"/>
    <col min="5381" max="5381" width="10.28515625" bestFit="1" customWidth="1"/>
    <col min="5382" max="5383" width="9.28515625" bestFit="1" customWidth="1"/>
    <col min="5385" max="5385" width="10.28515625" bestFit="1" customWidth="1"/>
    <col min="5386" max="5387" width="9.28515625" bestFit="1" customWidth="1"/>
    <col min="5389" max="5389" width="10.28515625" bestFit="1" customWidth="1"/>
    <col min="5390" max="5391" width="9.28515625" bestFit="1" customWidth="1"/>
    <col min="5393" max="5393" width="10.28515625" bestFit="1" customWidth="1"/>
    <col min="5394" max="5395" width="9.28515625" bestFit="1" customWidth="1"/>
    <col min="5397" max="5397" width="10.28515625" bestFit="1" customWidth="1"/>
    <col min="5398" max="5399" width="9.28515625" bestFit="1" customWidth="1"/>
    <col min="5401" max="5401" width="10.28515625" bestFit="1" customWidth="1"/>
    <col min="5402" max="5403" width="9.28515625" bestFit="1" customWidth="1"/>
    <col min="5405" max="5405" width="10.28515625" bestFit="1" customWidth="1"/>
    <col min="5406" max="5407" width="9.28515625" bestFit="1" customWidth="1"/>
    <col min="5409" max="5409" width="10.28515625" bestFit="1" customWidth="1"/>
    <col min="5410" max="5411" width="9.28515625" bestFit="1" customWidth="1"/>
    <col min="5413" max="5413" width="10.28515625" bestFit="1" customWidth="1"/>
    <col min="5414" max="5415" width="9.28515625" bestFit="1" customWidth="1"/>
    <col min="5417" max="5417" width="10.28515625" bestFit="1" customWidth="1"/>
    <col min="5418" max="5419" width="9.28515625" bestFit="1" customWidth="1"/>
    <col min="5421" max="5421" width="10.28515625" bestFit="1" customWidth="1"/>
    <col min="5422" max="5423" width="9.28515625" bestFit="1" customWidth="1"/>
    <col min="5425" max="5425" width="10.28515625" bestFit="1" customWidth="1"/>
    <col min="5426" max="5427" width="9.28515625" bestFit="1" customWidth="1"/>
    <col min="5429" max="5429" width="10.28515625" bestFit="1" customWidth="1"/>
    <col min="5430" max="5431" width="9.28515625" bestFit="1" customWidth="1"/>
    <col min="5433" max="5433" width="10.28515625" bestFit="1" customWidth="1"/>
    <col min="5434" max="5435" width="9.28515625" bestFit="1" customWidth="1"/>
    <col min="5437" max="5437" width="10.28515625" bestFit="1" customWidth="1"/>
    <col min="5438" max="5439" width="9.28515625" bestFit="1" customWidth="1"/>
    <col min="5441" max="5441" width="10.28515625" bestFit="1" customWidth="1"/>
    <col min="5442" max="5443" width="9.28515625" bestFit="1" customWidth="1"/>
    <col min="5445" max="5445" width="10.28515625" bestFit="1" customWidth="1"/>
    <col min="5446" max="5447" width="9.28515625" bestFit="1" customWidth="1"/>
    <col min="5449" max="5449" width="10.28515625" bestFit="1" customWidth="1"/>
    <col min="5450" max="5451" width="9.28515625" bestFit="1" customWidth="1"/>
    <col min="5453" max="5453" width="10.28515625" bestFit="1" customWidth="1"/>
    <col min="5454" max="5455" width="9.28515625" bestFit="1" customWidth="1"/>
    <col min="5457" max="5457" width="10.28515625" bestFit="1" customWidth="1"/>
    <col min="5458" max="5459" width="9.28515625" bestFit="1" customWidth="1"/>
    <col min="5461" max="5461" width="10.28515625" bestFit="1" customWidth="1"/>
    <col min="5462" max="5463" width="9.28515625" bestFit="1" customWidth="1"/>
    <col min="5465" max="5465" width="10.28515625" bestFit="1" customWidth="1"/>
    <col min="5466" max="5467" width="9.28515625" bestFit="1" customWidth="1"/>
    <col min="5469" max="5469" width="10.28515625" bestFit="1" customWidth="1"/>
    <col min="5470" max="5471" width="9.28515625" bestFit="1" customWidth="1"/>
    <col min="5473" max="5473" width="10.28515625" bestFit="1" customWidth="1"/>
    <col min="5474" max="5475" width="9.28515625" bestFit="1" customWidth="1"/>
    <col min="5477" max="5477" width="10.28515625" bestFit="1" customWidth="1"/>
    <col min="5478" max="5479" width="9.28515625" bestFit="1" customWidth="1"/>
    <col min="5481" max="5481" width="10.28515625" bestFit="1" customWidth="1"/>
    <col min="5482" max="5483" width="9.28515625" bestFit="1" customWidth="1"/>
    <col min="5485" max="5485" width="10.28515625" bestFit="1" customWidth="1"/>
    <col min="5486" max="5487" width="9.28515625" bestFit="1" customWidth="1"/>
    <col min="5489" max="5489" width="10.28515625" bestFit="1" customWidth="1"/>
    <col min="5490" max="5491" width="9.28515625" bestFit="1" customWidth="1"/>
    <col min="5493" max="5493" width="10.28515625" bestFit="1" customWidth="1"/>
    <col min="5494" max="5495" width="9.28515625" bestFit="1" customWidth="1"/>
    <col min="5497" max="5497" width="10.28515625" bestFit="1" customWidth="1"/>
    <col min="5498" max="5499" width="9.28515625" bestFit="1" customWidth="1"/>
    <col min="5501" max="5501" width="10.28515625" bestFit="1" customWidth="1"/>
    <col min="5502" max="5503" width="9.28515625" bestFit="1" customWidth="1"/>
    <col min="5505" max="5505" width="10.28515625" bestFit="1" customWidth="1"/>
    <col min="5506" max="5507" width="9.28515625" bestFit="1" customWidth="1"/>
    <col min="5509" max="5509" width="10.28515625" bestFit="1" customWidth="1"/>
    <col min="5510" max="5511" width="9.28515625" bestFit="1" customWidth="1"/>
    <col min="5513" max="5513" width="10.28515625" bestFit="1" customWidth="1"/>
    <col min="5514" max="5515" width="9.28515625" bestFit="1" customWidth="1"/>
    <col min="5517" max="5517" width="10.28515625" bestFit="1" customWidth="1"/>
    <col min="5518" max="5519" width="9.28515625" bestFit="1" customWidth="1"/>
    <col min="5521" max="5521" width="10.28515625" bestFit="1" customWidth="1"/>
    <col min="5522" max="5523" width="9.28515625" bestFit="1" customWidth="1"/>
    <col min="5525" max="5525" width="10.28515625" bestFit="1" customWidth="1"/>
    <col min="5526" max="5527" width="9.28515625" bestFit="1" customWidth="1"/>
    <col min="5529" max="5529" width="10.28515625" bestFit="1" customWidth="1"/>
    <col min="5530" max="5531" width="9.28515625" bestFit="1" customWidth="1"/>
    <col min="5533" max="5533" width="10.28515625" bestFit="1" customWidth="1"/>
    <col min="5534" max="5535" width="9.28515625" bestFit="1" customWidth="1"/>
    <col min="5537" max="5537" width="10.28515625" bestFit="1" customWidth="1"/>
    <col min="5538" max="5539" width="9.28515625" bestFit="1" customWidth="1"/>
    <col min="5541" max="5541" width="10.28515625" bestFit="1" customWidth="1"/>
    <col min="5542" max="5543" width="9.28515625" bestFit="1" customWidth="1"/>
    <col min="5545" max="5545" width="10.28515625" bestFit="1" customWidth="1"/>
    <col min="5546" max="5547" width="9.28515625" bestFit="1" customWidth="1"/>
    <col min="5549" max="5549" width="10.28515625" bestFit="1" customWidth="1"/>
    <col min="5550" max="5551" width="9.28515625" bestFit="1" customWidth="1"/>
    <col min="5553" max="5553" width="10.28515625" bestFit="1" customWidth="1"/>
    <col min="5554" max="5555" width="9.28515625" bestFit="1" customWidth="1"/>
    <col min="5557" max="5557" width="10.28515625" bestFit="1" customWidth="1"/>
    <col min="5558" max="5559" width="9.28515625" bestFit="1" customWidth="1"/>
    <col min="5561" max="5561" width="10.28515625" bestFit="1" customWidth="1"/>
    <col min="5562" max="5563" width="9.28515625" bestFit="1" customWidth="1"/>
    <col min="5565" max="5565" width="10.28515625" bestFit="1" customWidth="1"/>
    <col min="5566" max="5567" width="9.28515625" bestFit="1" customWidth="1"/>
    <col min="5569" max="5569" width="10.28515625" bestFit="1" customWidth="1"/>
    <col min="5570" max="5571" width="9.28515625" bestFit="1" customWidth="1"/>
    <col min="5573" max="5573" width="10.28515625" bestFit="1" customWidth="1"/>
    <col min="5574" max="5575" width="9.28515625" bestFit="1" customWidth="1"/>
    <col min="5577" max="5577" width="10.28515625" bestFit="1" customWidth="1"/>
    <col min="5578" max="5579" width="9.28515625" bestFit="1" customWidth="1"/>
    <col min="5581" max="5581" width="10.28515625" bestFit="1" customWidth="1"/>
    <col min="5582" max="5583" width="9.28515625" bestFit="1" customWidth="1"/>
    <col min="5585" max="5585" width="10.28515625" bestFit="1" customWidth="1"/>
    <col min="5586" max="5587" width="9.28515625" bestFit="1" customWidth="1"/>
    <col min="5589" max="5589" width="10.28515625" bestFit="1" customWidth="1"/>
    <col min="5590" max="5591" width="9.28515625" bestFit="1" customWidth="1"/>
    <col min="5593" max="5593" width="10.28515625" bestFit="1" customWidth="1"/>
    <col min="5594" max="5595" width="9.28515625" bestFit="1" customWidth="1"/>
    <col min="5597" max="5597" width="10.28515625" bestFit="1" customWidth="1"/>
    <col min="5598" max="5599" width="9.28515625" bestFit="1" customWidth="1"/>
    <col min="5601" max="5601" width="10.28515625" bestFit="1" customWidth="1"/>
    <col min="5602" max="5603" width="9.28515625" bestFit="1" customWidth="1"/>
    <col min="5605" max="5605" width="10.28515625" bestFit="1" customWidth="1"/>
    <col min="5606" max="5607" width="9.28515625" bestFit="1" customWidth="1"/>
    <col min="5609" max="5609" width="10.28515625" bestFit="1" customWidth="1"/>
    <col min="5610" max="5611" width="9.28515625" bestFit="1" customWidth="1"/>
    <col min="5613" max="5613" width="10.28515625" bestFit="1" customWidth="1"/>
    <col min="5614" max="5615" width="9.28515625" bestFit="1" customWidth="1"/>
    <col min="5617" max="5617" width="10.28515625" bestFit="1" customWidth="1"/>
    <col min="5618" max="5619" width="9.28515625" bestFit="1" customWidth="1"/>
    <col min="5621" max="5621" width="10.28515625" bestFit="1" customWidth="1"/>
    <col min="5622" max="5623" width="9.28515625" bestFit="1" customWidth="1"/>
    <col min="5625" max="5625" width="10.28515625" bestFit="1" customWidth="1"/>
    <col min="5626" max="5627" width="9.28515625" bestFit="1" customWidth="1"/>
    <col min="5629" max="5629" width="10.28515625" bestFit="1" customWidth="1"/>
    <col min="5630" max="5631" width="9.28515625" bestFit="1" customWidth="1"/>
    <col min="5633" max="5633" width="10.28515625" bestFit="1" customWidth="1"/>
    <col min="5634" max="5635" width="9.28515625" bestFit="1" customWidth="1"/>
    <col min="5637" max="5637" width="10.28515625" bestFit="1" customWidth="1"/>
    <col min="5638" max="5639" width="9.28515625" bestFit="1" customWidth="1"/>
    <col min="5641" max="5641" width="10.28515625" bestFit="1" customWidth="1"/>
    <col min="5642" max="5643" width="9.28515625" bestFit="1" customWidth="1"/>
    <col min="5645" max="5645" width="10.28515625" bestFit="1" customWidth="1"/>
    <col min="5646" max="5647" width="9.28515625" bestFit="1" customWidth="1"/>
    <col min="5649" max="5649" width="10.28515625" bestFit="1" customWidth="1"/>
    <col min="5650" max="5651" width="9.28515625" bestFit="1" customWidth="1"/>
    <col min="5653" max="5653" width="10.28515625" bestFit="1" customWidth="1"/>
    <col min="5654" max="5655" width="9.28515625" bestFit="1" customWidth="1"/>
    <col min="5657" max="5657" width="10.28515625" bestFit="1" customWidth="1"/>
    <col min="5658" max="5659" width="9.28515625" bestFit="1" customWidth="1"/>
    <col min="5661" max="5661" width="10.28515625" bestFit="1" customWidth="1"/>
    <col min="5662" max="5663" width="9.28515625" bestFit="1" customWidth="1"/>
    <col min="5665" max="5665" width="10.28515625" bestFit="1" customWidth="1"/>
    <col min="5666" max="5667" width="9.28515625" bestFit="1" customWidth="1"/>
    <col min="5669" max="5669" width="10.28515625" bestFit="1" customWidth="1"/>
    <col min="5670" max="5671" width="9.28515625" bestFit="1" customWidth="1"/>
    <col min="5673" max="5673" width="10.28515625" bestFit="1" customWidth="1"/>
    <col min="5674" max="5675" width="9.28515625" bestFit="1" customWidth="1"/>
    <col min="5677" max="5677" width="10.28515625" bestFit="1" customWidth="1"/>
    <col min="5678" max="5679" width="9.28515625" bestFit="1" customWidth="1"/>
    <col min="5681" max="5681" width="10.28515625" bestFit="1" customWidth="1"/>
    <col min="5682" max="5683" width="9.28515625" bestFit="1" customWidth="1"/>
    <col min="5685" max="5685" width="10.28515625" bestFit="1" customWidth="1"/>
    <col min="5686" max="5687" width="9.28515625" bestFit="1" customWidth="1"/>
    <col min="5689" max="5689" width="10.28515625" bestFit="1" customWidth="1"/>
    <col min="5690" max="5691" width="9.28515625" bestFit="1" customWidth="1"/>
    <col min="5693" max="5693" width="10.28515625" bestFit="1" customWidth="1"/>
    <col min="5694" max="5695" width="9.28515625" bestFit="1" customWidth="1"/>
    <col min="5697" max="5697" width="10.28515625" bestFit="1" customWidth="1"/>
    <col min="5698" max="5699" width="9.28515625" bestFit="1" customWidth="1"/>
    <col min="5701" max="5701" width="10.28515625" bestFit="1" customWidth="1"/>
    <col min="5702" max="5703" width="9.28515625" bestFit="1" customWidth="1"/>
    <col min="5705" max="5705" width="10.28515625" bestFit="1" customWidth="1"/>
    <col min="5706" max="5707" width="9.28515625" bestFit="1" customWidth="1"/>
    <col min="5709" max="5709" width="10.28515625" bestFit="1" customWidth="1"/>
    <col min="5710" max="5711" width="9.28515625" bestFit="1" customWidth="1"/>
    <col min="5713" max="5713" width="10.28515625" bestFit="1" customWidth="1"/>
    <col min="5714" max="5715" width="9.28515625" bestFit="1" customWidth="1"/>
    <col min="5717" max="5717" width="10.28515625" bestFit="1" customWidth="1"/>
    <col min="5718" max="5719" width="9.28515625" bestFit="1" customWidth="1"/>
    <col min="5721" max="5721" width="10.28515625" bestFit="1" customWidth="1"/>
    <col min="5722" max="5723" width="9.28515625" bestFit="1" customWidth="1"/>
    <col min="5725" max="5725" width="10.28515625" bestFit="1" customWidth="1"/>
    <col min="5726" max="5727" width="9.28515625" bestFit="1" customWidth="1"/>
    <col min="5729" max="5729" width="10.28515625" bestFit="1" customWidth="1"/>
    <col min="5730" max="5731" width="9.28515625" bestFit="1" customWidth="1"/>
    <col min="5733" max="5733" width="10.28515625" bestFit="1" customWidth="1"/>
    <col min="5734" max="5735" width="9.28515625" bestFit="1" customWidth="1"/>
    <col min="5737" max="5737" width="10.28515625" bestFit="1" customWidth="1"/>
    <col min="5738" max="5739" width="9.28515625" bestFit="1" customWidth="1"/>
    <col min="5741" max="5741" width="10.28515625" bestFit="1" customWidth="1"/>
    <col min="5742" max="5743" width="9.28515625" bestFit="1" customWidth="1"/>
    <col min="5745" max="5745" width="10.28515625" bestFit="1" customWidth="1"/>
    <col min="5746" max="5747" width="9.28515625" bestFit="1" customWidth="1"/>
    <col min="5749" max="5749" width="10.28515625" bestFit="1" customWidth="1"/>
    <col min="5750" max="5751" width="9.28515625" bestFit="1" customWidth="1"/>
    <col min="5753" max="5753" width="10.28515625" bestFit="1" customWidth="1"/>
    <col min="5754" max="5755" width="9.28515625" bestFit="1" customWidth="1"/>
    <col min="5757" max="5757" width="10.28515625" bestFit="1" customWidth="1"/>
    <col min="5758" max="5759" width="9.28515625" bestFit="1" customWidth="1"/>
    <col min="5761" max="5761" width="10.28515625" bestFit="1" customWidth="1"/>
    <col min="5762" max="5763" width="9.28515625" bestFit="1" customWidth="1"/>
    <col min="5765" max="5765" width="10.28515625" bestFit="1" customWidth="1"/>
    <col min="5766" max="5767" width="9.28515625" bestFit="1" customWidth="1"/>
    <col min="5769" max="5769" width="10.28515625" bestFit="1" customWidth="1"/>
    <col min="5770" max="5771" width="9.28515625" bestFit="1" customWidth="1"/>
    <col min="5773" max="5773" width="10.28515625" bestFit="1" customWidth="1"/>
    <col min="5774" max="5775" width="9.28515625" bestFit="1" customWidth="1"/>
    <col min="5777" max="5777" width="10.28515625" bestFit="1" customWidth="1"/>
    <col min="5778" max="5779" width="9.28515625" bestFit="1" customWidth="1"/>
    <col min="5781" max="5781" width="10.28515625" bestFit="1" customWidth="1"/>
    <col min="5782" max="5783" width="9.28515625" bestFit="1" customWidth="1"/>
    <col min="5785" max="5785" width="10.28515625" bestFit="1" customWidth="1"/>
    <col min="5786" max="5787" width="9.28515625" bestFit="1" customWidth="1"/>
    <col min="5789" max="5789" width="10.28515625" bestFit="1" customWidth="1"/>
    <col min="5790" max="5791" width="9.28515625" bestFit="1" customWidth="1"/>
    <col min="5793" max="5793" width="10.28515625" bestFit="1" customWidth="1"/>
    <col min="5794" max="5795" width="9.28515625" bestFit="1" customWidth="1"/>
    <col min="5797" max="5797" width="10.28515625" bestFit="1" customWidth="1"/>
    <col min="5798" max="5799" width="9.28515625" bestFit="1" customWidth="1"/>
    <col min="5801" max="5801" width="10.28515625" bestFit="1" customWidth="1"/>
    <col min="5802" max="5803" width="9.28515625" bestFit="1" customWidth="1"/>
    <col min="5805" max="5805" width="10.28515625" bestFit="1" customWidth="1"/>
    <col min="5806" max="5807" width="9.28515625" bestFit="1" customWidth="1"/>
    <col min="5809" max="5809" width="10.28515625" bestFit="1" customWidth="1"/>
    <col min="5810" max="5811" width="9.28515625" bestFit="1" customWidth="1"/>
    <col min="5813" max="5813" width="10.28515625" bestFit="1" customWidth="1"/>
    <col min="5814" max="5815" width="9.28515625" bestFit="1" customWidth="1"/>
    <col min="5817" max="5817" width="10.28515625" bestFit="1" customWidth="1"/>
    <col min="5818" max="5819" width="9.28515625" bestFit="1" customWidth="1"/>
    <col min="5821" max="5821" width="10.28515625" bestFit="1" customWidth="1"/>
    <col min="5822" max="5823" width="9.28515625" bestFit="1" customWidth="1"/>
    <col min="5825" max="5825" width="10.28515625" bestFit="1" customWidth="1"/>
    <col min="5826" max="5827" width="9.28515625" bestFit="1" customWidth="1"/>
    <col min="5829" max="5829" width="10.28515625" bestFit="1" customWidth="1"/>
    <col min="5830" max="5831" width="9.28515625" bestFit="1" customWidth="1"/>
    <col min="5833" max="5833" width="10.28515625" bestFit="1" customWidth="1"/>
    <col min="5834" max="5835" width="9.28515625" bestFit="1" customWidth="1"/>
    <col min="5837" max="5837" width="10.28515625" bestFit="1" customWidth="1"/>
    <col min="5838" max="5839" width="9.28515625" bestFit="1" customWidth="1"/>
    <col min="5841" max="5841" width="10.28515625" bestFit="1" customWidth="1"/>
    <col min="5842" max="5843" width="9.28515625" bestFit="1" customWidth="1"/>
    <col min="5845" max="5845" width="10.28515625" bestFit="1" customWidth="1"/>
    <col min="5846" max="5847" width="9.28515625" bestFit="1" customWidth="1"/>
    <col min="5849" max="5849" width="10.28515625" bestFit="1" customWidth="1"/>
    <col min="5850" max="5851" width="9.28515625" bestFit="1" customWidth="1"/>
    <col min="5853" max="5853" width="10.28515625" bestFit="1" customWidth="1"/>
    <col min="5854" max="5855" width="9.28515625" bestFit="1" customWidth="1"/>
    <col min="5857" max="5857" width="10.28515625" bestFit="1" customWidth="1"/>
    <col min="5858" max="5859" width="9.28515625" bestFit="1" customWidth="1"/>
    <col min="5861" max="5861" width="10.28515625" bestFit="1" customWidth="1"/>
    <col min="5862" max="5863" width="9.28515625" bestFit="1" customWidth="1"/>
    <col min="5865" max="5865" width="10.28515625" bestFit="1" customWidth="1"/>
    <col min="5866" max="5867" width="9.28515625" bestFit="1" customWidth="1"/>
    <col min="5869" max="5869" width="10.28515625" bestFit="1" customWidth="1"/>
    <col min="5870" max="5871" width="9.28515625" bestFit="1" customWidth="1"/>
    <col min="5873" max="5873" width="10.28515625" bestFit="1" customWidth="1"/>
    <col min="5874" max="5875" width="9.28515625" bestFit="1" customWidth="1"/>
    <col min="5877" max="5877" width="10.28515625" bestFit="1" customWidth="1"/>
    <col min="5878" max="5879" width="9.28515625" bestFit="1" customWidth="1"/>
    <col min="5881" max="5881" width="10.28515625" bestFit="1" customWidth="1"/>
    <col min="5882" max="5883" width="9.28515625" bestFit="1" customWidth="1"/>
    <col min="5885" max="5885" width="10.28515625" bestFit="1" customWidth="1"/>
    <col min="5886" max="5887" width="9.28515625" bestFit="1" customWidth="1"/>
    <col min="5889" max="5889" width="10.28515625" bestFit="1" customWidth="1"/>
    <col min="5890" max="5891" width="9.28515625" bestFit="1" customWidth="1"/>
    <col min="5893" max="5893" width="10.28515625" bestFit="1" customWidth="1"/>
    <col min="5894" max="5895" width="9.28515625" bestFit="1" customWidth="1"/>
    <col min="5897" max="5897" width="10.28515625" bestFit="1" customWidth="1"/>
    <col min="5898" max="5899" width="9.28515625" bestFit="1" customWidth="1"/>
    <col min="5901" max="5901" width="10.28515625" bestFit="1" customWidth="1"/>
    <col min="5902" max="5903" width="9.28515625" bestFit="1" customWidth="1"/>
    <col min="5905" max="5905" width="10.28515625" bestFit="1" customWidth="1"/>
    <col min="5906" max="5907" width="9.28515625" bestFit="1" customWidth="1"/>
    <col min="5909" max="5909" width="10.28515625" bestFit="1" customWidth="1"/>
    <col min="5910" max="5911" width="9.28515625" bestFit="1" customWidth="1"/>
    <col min="5913" max="5913" width="10.28515625" bestFit="1" customWidth="1"/>
    <col min="5914" max="5915" width="9.28515625" bestFit="1" customWidth="1"/>
    <col min="5917" max="5917" width="10.28515625" bestFit="1" customWidth="1"/>
    <col min="5918" max="5919" width="9.28515625" bestFit="1" customWidth="1"/>
    <col min="5921" max="5921" width="10.28515625" bestFit="1" customWidth="1"/>
    <col min="5922" max="5923" width="9.28515625" bestFit="1" customWidth="1"/>
    <col min="5925" max="5925" width="10.28515625" bestFit="1" customWidth="1"/>
    <col min="5926" max="5927" width="9.28515625" bestFit="1" customWidth="1"/>
    <col min="5929" max="5929" width="10.28515625" bestFit="1" customWidth="1"/>
    <col min="5930" max="5931" width="9.28515625" bestFit="1" customWidth="1"/>
    <col min="5933" max="5933" width="10.28515625" bestFit="1" customWidth="1"/>
    <col min="5934" max="5935" width="9.28515625" bestFit="1" customWidth="1"/>
    <col min="5937" max="5937" width="10.28515625" bestFit="1" customWidth="1"/>
    <col min="5938" max="5939" width="9.28515625" bestFit="1" customWidth="1"/>
    <col min="5941" max="5941" width="10.28515625" bestFit="1" customWidth="1"/>
    <col min="5942" max="5943" width="9.28515625" bestFit="1" customWidth="1"/>
    <col min="5945" max="5945" width="10.28515625" bestFit="1" customWidth="1"/>
    <col min="5946" max="5947" width="9.28515625" bestFit="1" customWidth="1"/>
    <col min="5949" max="5949" width="10.28515625" bestFit="1" customWidth="1"/>
    <col min="5950" max="5951" width="9.28515625" bestFit="1" customWidth="1"/>
    <col min="5953" max="5953" width="10.28515625" bestFit="1" customWidth="1"/>
    <col min="5954" max="5955" width="9.28515625" bestFit="1" customWidth="1"/>
    <col min="5957" max="5957" width="10.28515625" bestFit="1" customWidth="1"/>
    <col min="5958" max="5959" width="9.28515625" bestFit="1" customWidth="1"/>
    <col min="5961" max="5961" width="10.28515625" bestFit="1" customWidth="1"/>
    <col min="5962" max="5963" width="9.28515625" bestFit="1" customWidth="1"/>
    <col min="5965" max="5965" width="10.28515625" bestFit="1" customWidth="1"/>
    <col min="5966" max="5967" width="9.28515625" bestFit="1" customWidth="1"/>
    <col min="5969" max="5969" width="10.28515625" bestFit="1" customWidth="1"/>
    <col min="5970" max="5971" width="9.28515625" bestFit="1" customWidth="1"/>
    <col min="5973" max="5973" width="10.28515625" bestFit="1" customWidth="1"/>
    <col min="5974" max="5975" width="9.28515625" bestFit="1" customWidth="1"/>
    <col min="5977" max="5977" width="10.28515625" bestFit="1" customWidth="1"/>
    <col min="5978" max="5979" width="9.28515625" bestFit="1" customWidth="1"/>
    <col min="5981" max="5981" width="10.28515625" bestFit="1" customWidth="1"/>
    <col min="5982" max="5983" width="9.28515625" bestFit="1" customWidth="1"/>
    <col min="5985" max="5985" width="10.28515625" bestFit="1" customWidth="1"/>
    <col min="5986" max="5987" width="9.28515625" bestFit="1" customWidth="1"/>
    <col min="5989" max="5989" width="10.28515625" bestFit="1" customWidth="1"/>
    <col min="5990" max="5991" width="9.28515625" bestFit="1" customWidth="1"/>
    <col min="5993" max="5993" width="10.28515625" bestFit="1" customWidth="1"/>
    <col min="5994" max="5995" width="9.28515625" bestFit="1" customWidth="1"/>
    <col min="5997" max="5997" width="10.28515625" bestFit="1" customWidth="1"/>
    <col min="5998" max="5999" width="9.28515625" bestFit="1" customWidth="1"/>
    <col min="6001" max="6001" width="10.28515625" bestFit="1" customWidth="1"/>
    <col min="6002" max="6003" width="9.28515625" bestFit="1" customWidth="1"/>
    <col min="6005" max="6005" width="10.28515625" bestFit="1" customWidth="1"/>
    <col min="6006" max="6007" width="9.28515625" bestFit="1" customWidth="1"/>
    <col min="6009" max="6009" width="10.28515625" bestFit="1" customWidth="1"/>
    <col min="6010" max="6011" width="9.28515625" bestFit="1" customWidth="1"/>
    <col min="6013" max="6013" width="10.28515625" bestFit="1" customWidth="1"/>
    <col min="6014" max="6015" width="9.28515625" bestFit="1" customWidth="1"/>
    <col min="6017" max="6017" width="10.28515625" bestFit="1" customWidth="1"/>
    <col min="6018" max="6019" width="9.28515625" bestFit="1" customWidth="1"/>
    <col min="6021" max="6021" width="10.28515625" bestFit="1" customWidth="1"/>
    <col min="6022" max="6023" width="9.28515625" bestFit="1" customWidth="1"/>
    <col min="6025" max="6025" width="10.28515625" bestFit="1" customWidth="1"/>
    <col min="6026" max="6027" width="9.28515625" bestFit="1" customWidth="1"/>
    <col min="6029" max="6029" width="10.28515625" bestFit="1" customWidth="1"/>
    <col min="6030" max="6031" width="9.28515625" bestFit="1" customWidth="1"/>
    <col min="6033" max="6033" width="10.28515625" bestFit="1" customWidth="1"/>
    <col min="6034" max="6035" width="9.28515625" bestFit="1" customWidth="1"/>
    <col min="6037" max="6037" width="10.28515625" bestFit="1" customWidth="1"/>
    <col min="6038" max="6039" width="9.28515625" bestFit="1" customWidth="1"/>
    <col min="6041" max="6041" width="10.28515625" bestFit="1" customWidth="1"/>
    <col min="6042" max="6043" width="9.28515625" bestFit="1" customWidth="1"/>
    <col min="6045" max="6045" width="10.28515625" bestFit="1" customWidth="1"/>
    <col min="6046" max="6047" width="9.28515625" bestFit="1" customWidth="1"/>
    <col min="6049" max="6049" width="10.28515625" bestFit="1" customWidth="1"/>
    <col min="6050" max="6051" width="9.28515625" bestFit="1" customWidth="1"/>
    <col min="6053" max="6053" width="10.28515625" bestFit="1" customWidth="1"/>
    <col min="6054" max="6055" width="9.28515625" bestFit="1" customWidth="1"/>
    <col min="6057" max="6057" width="10.28515625" bestFit="1" customWidth="1"/>
    <col min="6058" max="6059" width="9.28515625" bestFit="1" customWidth="1"/>
    <col min="6061" max="6061" width="10.28515625" bestFit="1" customWidth="1"/>
    <col min="6062" max="6063" width="9.28515625" bestFit="1" customWidth="1"/>
    <col min="6065" max="6065" width="10.28515625" bestFit="1" customWidth="1"/>
    <col min="6066" max="6067" width="9.28515625" bestFit="1" customWidth="1"/>
    <col min="6069" max="6069" width="10.28515625" bestFit="1" customWidth="1"/>
    <col min="6070" max="6071" width="9.28515625" bestFit="1" customWidth="1"/>
    <col min="6073" max="6073" width="10.28515625" bestFit="1" customWidth="1"/>
    <col min="6074" max="6075" width="9.28515625" bestFit="1" customWidth="1"/>
    <col min="6077" max="6077" width="10.28515625" bestFit="1" customWidth="1"/>
    <col min="6078" max="6079" width="9.28515625" bestFit="1" customWidth="1"/>
    <col min="6081" max="6081" width="10.28515625" bestFit="1" customWidth="1"/>
    <col min="6082" max="6083" width="9.28515625" bestFit="1" customWidth="1"/>
    <col min="6085" max="6085" width="10.28515625" bestFit="1" customWidth="1"/>
    <col min="6086" max="6087" width="9.28515625" bestFit="1" customWidth="1"/>
    <col min="6089" max="6089" width="10.28515625" bestFit="1" customWidth="1"/>
    <col min="6090" max="6091" width="9.28515625" bestFit="1" customWidth="1"/>
    <col min="6093" max="6093" width="10.28515625" bestFit="1" customWidth="1"/>
    <col min="6094" max="6095" width="9.28515625" bestFit="1" customWidth="1"/>
    <col min="6097" max="6097" width="10.28515625" bestFit="1" customWidth="1"/>
    <col min="6098" max="6099" width="9.28515625" bestFit="1" customWidth="1"/>
    <col min="6101" max="6101" width="10.28515625" bestFit="1" customWidth="1"/>
    <col min="6102" max="6103" width="9.28515625" bestFit="1" customWidth="1"/>
    <col min="6105" max="6105" width="10.28515625" bestFit="1" customWidth="1"/>
    <col min="6106" max="6107" width="9.28515625" bestFit="1" customWidth="1"/>
    <col min="6109" max="6109" width="10.28515625" bestFit="1" customWidth="1"/>
    <col min="6110" max="6111" width="9.28515625" bestFit="1" customWidth="1"/>
    <col min="6113" max="6113" width="10.28515625" bestFit="1" customWidth="1"/>
    <col min="6114" max="6115" width="9.28515625" bestFit="1" customWidth="1"/>
    <col min="6117" max="6117" width="10.28515625" bestFit="1" customWidth="1"/>
    <col min="6118" max="6119" width="9.28515625" bestFit="1" customWidth="1"/>
    <col min="6121" max="6121" width="10.28515625" bestFit="1" customWidth="1"/>
    <col min="6122" max="6123" width="9.28515625" bestFit="1" customWidth="1"/>
    <col min="6125" max="6125" width="10.28515625" bestFit="1" customWidth="1"/>
    <col min="6126" max="6127" width="9.28515625" bestFit="1" customWidth="1"/>
    <col min="6129" max="6129" width="10.28515625" bestFit="1" customWidth="1"/>
    <col min="6130" max="6131" width="9.28515625" bestFit="1" customWidth="1"/>
    <col min="6133" max="6133" width="10.28515625" bestFit="1" customWidth="1"/>
    <col min="6134" max="6135" width="9.28515625" bestFit="1" customWidth="1"/>
    <col min="6137" max="6137" width="10.28515625" bestFit="1" customWidth="1"/>
    <col min="6138" max="6139" width="9.28515625" bestFit="1" customWidth="1"/>
    <col min="6141" max="6141" width="10.28515625" bestFit="1" customWidth="1"/>
    <col min="6142" max="6143" width="9.28515625" bestFit="1" customWidth="1"/>
    <col min="6145" max="6145" width="10.28515625" bestFit="1" customWidth="1"/>
    <col min="6146" max="6147" width="9.28515625" bestFit="1" customWidth="1"/>
    <col min="6149" max="6149" width="10.28515625" bestFit="1" customWidth="1"/>
    <col min="6150" max="6151" width="9.28515625" bestFit="1" customWidth="1"/>
    <col min="6153" max="6153" width="10.28515625" bestFit="1" customWidth="1"/>
    <col min="6154" max="6155" width="9.28515625" bestFit="1" customWidth="1"/>
    <col min="6157" max="6157" width="10.28515625" bestFit="1" customWidth="1"/>
    <col min="6158" max="6159" width="9.28515625" bestFit="1" customWidth="1"/>
    <col min="6161" max="6161" width="10.28515625" bestFit="1" customWidth="1"/>
    <col min="6162" max="6163" width="9.28515625" bestFit="1" customWidth="1"/>
    <col min="6165" max="6165" width="10.28515625" bestFit="1" customWidth="1"/>
    <col min="6166" max="6167" width="9.28515625" bestFit="1" customWidth="1"/>
    <col min="6169" max="6169" width="10.28515625" bestFit="1" customWidth="1"/>
    <col min="6170" max="6171" width="9.28515625" bestFit="1" customWidth="1"/>
    <col min="6173" max="6173" width="10.28515625" bestFit="1" customWidth="1"/>
    <col min="6174" max="6175" width="9.28515625" bestFit="1" customWidth="1"/>
    <col min="6177" max="6177" width="10.28515625" bestFit="1" customWidth="1"/>
    <col min="6178" max="6179" width="9.28515625" bestFit="1" customWidth="1"/>
    <col min="6181" max="6181" width="10.28515625" bestFit="1" customWidth="1"/>
    <col min="6182" max="6183" width="9.28515625" bestFit="1" customWidth="1"/>
    <col min="6185" max="6185" width="10.28515625" bestFit="1" customWidth="1"/>
    <col min="6186" max="6187" width="9.28515625" bestFit="1" customWidth="1"/>
    <col min="6189" max="6189" width="10.28515625" bestFit="1" customWidth="1"/>
    <col min="6190" max="6191" width="9.28515625" bestFit="1" customWidth="1"/>
    <col min="6193" max="6193" width="10.28515625" bestFit="1" customWidth="1"/>
    <col min="6194" max="6195" width="9.28515625" bestFit="1" customWidth="1"/>
    <col min="6197" max="6197" width="10.28515625" bestFit="1" customWidth="1"/>
    <col min="6198" max="6199" width="9.28515625" bestFit="1" customWidth="1"/>
    <col min="6201" max="6201" width="10.28515625" bestFit="1" customWidth="1"/>
    <col min="6202" max="6203" width="9.28515625" bestFit="1" customWidth="1"/>
    <col min="6205" max="6205" width="10.28515625" bestFit="1" customWidth="1"/>
    <col min="6206" max="6207" width="9.28515625" bestFit="1" customWidth="1"/>
    <col min="6209" max="6209" width="10.28515625" bestFit="1" customWidth="1"/>
    <col min="6210" max="6211" width="9.28515625" bestFit="1" customWidth="1"/>
    <col min="6213" max="6213" width="10.28515625" bestFit="1" customWidth="1"/>
    <col min="6214" max="6215" width="9.28515625" bestFit="1" customWidth="1"/>
    <col min="6217" max="6217" width="10.28515625" bestFit="1" customWidth="1"/>
    <col min="6218" max="6219" width="9.28515625" bestFit="1" customWidth="1"/>
    <col min="6221" max="6221" width="10.28515625" bestFit="1" customWidth="1"/>
    <col min="6222" max="6223" width="9.28515625" bestFit="1" customWidth="1"/>
    <col min="6225" max="6225" width="10.28515625" bestFit="1" customWidth="1"/>
    <col min="6226" max="6227" width="9.28515625" bestFit="1" customWidth="1"/>
    <col min="6229" max="6229" width="10.28515625" bestFit="1" customWidth="1"/>
    <col min="6230" max="6231" width="9.28515625" bestFit="1" customWidth="1"/>
    <col min="6233" max="6233" width="10.28515625" bestFit="1" customWidth="1"/>
    <col min="6234" max="6235" width="9.28515625" bestFit="1" customWidth="1"/>
    <col min="6237" max="6237" width="10.28515625" bestFit="1" customWidth="1"/>
    <col min="6238" max="6239" width="9.28515625" bestFit="1" customWidth="1"/>
    <col min="6241" max="6241" width="10.28515625" bestFit="1" customWidth="1"/>
    <col min="6242" max="6243" width="9.28515625" bestFit="1" customWidth="1"/>
    <col min="6245" max="6245" width="10.28515625" bestFit="1" customWidth="1"/>
    <col min="6246" max="6247" width="9.28515625" bestFit="1" customWidth="1"/>
    <col min="6249" max="6249" width="10.28515625" bestFit="1" customWidth="1"/>
    <col min="6250" max="6251" width="9.28515625" bestFit="1" customWidth="1"/>
    <col min="6253" max="6253" width="10.28515625" bestFit="1" customWidth="1"/>
    <col min="6254" max="6255" width="9.28515625" bestFit="1" customWidth="1"/>
    <col min="6257" max="6257" width="10.28515625" bestFit="1" customWidth="1"/>
    <col min="6258" max="6259" width="9.28515625" bestFit="1" customWidth="1"/>
    <col min="6261" max="6261" width="10.28515625" bestFit="1" customWidth="1"/>
    <col min="6262" max="6263" width="9.28515625" bestFit="1" customWidth="1"/>
    <col min="6265" max="6265" width="10.28515625" bestFit="1" customWidth="1"/>
    <col min="6266" max="6267" width="9.28515625" bestFit="1" customWidth="1"/>
    <col min="6269" max="6269" width="10.28515625" bestFit="1" customWidth="1"/>
    <col min="6270" max="6271" width="9.28515625" bestFit="1" customWidth="1"/>
    <col min="6273" max="6273" width="10.28515625" bestFit="1" customWidth="1"/>
    <col min="6274" max="6275" width="9.28515625" bestFit="1" customWidth="1"/>
    <col min="6277" max="6277" width="10.28515625" bestFit="1" customWidth="1"/>
    <col min="6278" max="6279" width="9.28515625" bestFit="1" customWidth="1"/>
    <col min="6281" max="6281" width="10.28515625" bestFit="1" customWidth="1"/>
    <col min="6282" max="6283" width="9.28515625" bestFit="1" customWidth="1"/>
    <col min="6285" max="6285" width="10.28515625" bestFit="1" customWidth="1"/>
    <col min="6286" max="6287" width="9.28515625" bestFit="1" customWidth="1"/>
    <col min="6289" max="6289" width="10.28515625" bestFit="1" customWidth="1"/>
    <col min="6290" max="6291" width="9.28515625" bestFit="1" customWidth="1"/>
    <col min="6293" max="6293" width="10.28515625" bestFit="1" customWidth="1"/>
    <col min="6294" max="6295" width="9.28515625" bestFit="1" customWidth="1"/>
    <col min="6297" max="6297" width="10.28515625" bestFit="1" customWidth="1"/>
    <col min="6298" max="6299" width="9.28515625" bestFit="1" customWidth="1"/>
    <col min="6301" max="6301" width="10.28515625" bestFit="1" customWidth="1"/>
    <col min="6302" max="6303" width="9.28515625" bestFit="1" customWidth="1"/>
    <col min="6305" max="6305" width="10.28515625" bestFit="1" customWidth="1"/>
    <col min="6306" max="6307" width="9.28515625" bestFit="1" customWidth="1"/>
    <col min="6309" max="6309" width="10.28515625" bestFit="1" customWidth="1"/>
    <col min="6310" max="6311" width="9.28515625" bestFit="1" customWidth="1"/>
    <col min="6313" max="6313" width="10.28515625" bestFit="1" customWidth="1"/>
    <col min="6314" max="6315" width="9.28515625" bestFit="1" customWidth="1"/>
    <col min="6317" max="6317" width="10.28515625" bestFit="1" customWidth="1"/>
    <col min="6318" max="6319" width="9.28515625" bestFit="1" customWidth="1"/>
    <col min="6321" max="6321" width="10.28515625" bestFit="1" customWidth="1"/>
    <col min="6322" max="6323" width="9.28515625" bestFit="1" customWidth="1"/>
    <col min="6325" max="6325" width="10.28515625" bestFit="1" customWidth="1"/>
    <col min="6326" max="6327" width="9.28515625" bestFit="1" customWidth="1"/>
    <col min="6329" max="6329" width="10.28515625" bestFit="1" customWidth="1"/>
    <col min="6330" max="6331" width="9.28515625" bestFit="1" customWidth="1"/>
    <col min="6333" max="6333" width="10.28515625" bestFit="1" customWidth="1"/>
    <col min="6334" max="6335" width="9.28515625" bestFit="1" customWidth="1"/>
    <col min="6337" max="6337" width="10.28515625" bestFit="1" customWidth="1"/>
    <col min="6338" max="6339" width="9.28515625" bestFit="1" customWidth="1"/>
    <col min="6341" max="6341" width="10.28515625" bestFit="1" customWidth="1"/>
    <col min="6342" max="6343" width="9.28515625" bestFit="1" customWidth="1"/>
    <col min="6345" max="6345" width="10.28515625" bestFit="1" customWidth="1"/>
    <col min="6346" max="6347" width="9.28515625" bestFit="1" customWidth="1"/>
    <col min="6349" max="6349" width="10.28515625" bestFit="1" customWidth="1"/>
    <col min="6350" max="6351" width="9.28515625" bestFit="1" customWidth="1"/>
    <col min="6353" max="6353" width="10.28515625" bestFit="1" customWidth="1"/>
    <col min="6354" max="6355" width="9.28515625" bestFit="1" customWidth="1"/>
    <col min="6357" max="6357" width="10.28515625" bestFit="1" customWidth="1"/>
    <col min="6358" max="6359" width="9.28515625" bestFit="1" customWidth="1"/>
    <col min="6361" max="6361" width="10.28515625" bestFit="1" customWidth="1"/>
    <col min="6362" max="6363" width="9.28515625" bestFit="1" customWidth="1"/>
    <col min="6365" max="6365" width="10.28515625" bestFit="1" customWidth="1"/>
    <col min="6366" max="6367" width="9.28515625" bestFit="1" customWidth="1"/>
    <col min="6369" max="6369" width="10.28515625" bestFit="1" customWidth="1"/>
    <col min="6370" max="6371" width="9.28515625" bestFit="1" customWidth="1"/>
    <col min="6373" max="6373" width="10.28515625" bestFit="1" customWidth="1"/>
    <col min="6374" max="6375" width="9.28515625" bestFit="1" customWidth="1"/>
    <col min="6377" max="6377" width="10.28515625" bestFit="1" customWidth="1"/>
    <col min="6378" max="6379" width="9.28515625" bestFit="1" customWidth="1"/>
    <col min="6381" max="6381" width="10.28515625" bestFit="1" customWidth="1"/>
    <col min="6382" max="6383" width="9.28515625" bestFit="1" customWidth="1"/>
    <col min="6385" max="6385" width="10.28515625" bestFit="1" customWidth="1"/>
    <col min="6386" max="6387" width="9.28515625" bestFit="1" customWidth="1"/>
    <col min="6389" max="6389" width="10.28515625" bestFit="1" customWidth="1"/>
    <col min="6390" max="6391" width="9.28515625" bestFit="1" customWidth="1"/>
    <col min="6393" max="6393" width="10.28515625" bestFit="1" customWidth="1"/>
    <col min="6394" max="6395" width="9.28515625" bestFit="1" customWidth="1"/>
    <col min="6397" max="6397" width="10.28515625" bestFit="1" customWidth="1"/>
    <col min="6398" max="6399" width="9.28515625" bestFit="1" customWidth="1"/>
    <col min="6401" max="6401" width="10.28515625" bestFit="1" customWidth="1"/>
    <col min="6402" max="6403" width="9.28515625" bestFit="1" customWidth="1"/>
    <col min="6405" max="6405" width="10.28515625" bestFit="1" customWidth="1"/>
    <col min="6406" max="6407" width="9.28515625" bestFit="1" customWidth="1"/>
    <col min="6409" max="6409" width="10.28515625" bestFit="1" customWidth="1"/>
    <col min="6410" max="6411" width="9.28515625" bestFit="1" customWidth="1"/>
    <col min="6413" max="6413" width="10.28515625" bestFit="1" customWidth="1"/>
    <col min="6414" max="6415" width="9.28515625" bestFit="1" customWidth="1"/>
    <col min="6417" max="6417" width="10.28515625" bestFit="1" customWidth="1"/>
    <col min="6418" max="6419" width="9.28515625" bestFit="1" customWidth="1"/>
    <col min="6421" max="6421" width="10.28515625" bestFit="1" customWidth="1"/>
    <col min="6422" max="6423" width="9.28515625" bestFit="1" customWidth="1"/>
    <col min="6425" max="6425" width="10.28515625" bestFit="1" customWidth="1"/>
    <col min="6426" max="6427" width="9.28515625" bestFit="1" customWidth="1"/>
    <col min="6429" max="6429" width="10.28515625" bestFit="1" customWidth="1"/>
    <col min="6430" max="6431" width="9.28515625" bestFit="1" customWidth="1"/>
    <col min="6433" max="6433" width="10.28515625" bestFit="1" customWidth="1"/>
    <col min="6434" max="6435" width="9.28515625" bestFit="1" customWidth="1"/>
    <col min="6437" max="6437" width="10.28515625" bestFit="1" customWidth="1"/>
    <col min="6438" max="6439" width="9.28515625" bestFit="1" customWidth="1"/>
    <col min="6441" max="6441" width="10.28515625" bestFit="1" customWidth="1"/>
    <col min="6442" max="6443" width="9.28515625" bestFit="1" customWidth="1"/>
    <col min="6445" max="6445" width="10.28515625" bestFit="1" customWidth="1"/>
    <col min="6446" max="6447" width="9.28515625" bestFit="1" customWidth="1"/>
    <col min="6449" max="6449" width="10.28515625" bestFit="1" customWidth="1"/>
    <col min="6450" max="6451" width="9.28515625" bestFit="1" customWidth="1"/>
    <col min="6453" max="6453" width="10.28515625" bestFit="1" customWidth="1"/>
    <col min="6454" max="6455" width="9.28515625" bestFit="1" customWidth="1"/>
    <col min="6457" max="6457" width="10.28515625" bestFit="1" customWidth="1"/>
    <col min="6458" max="6459" width="9.28515625" bestFit="1" customWidth="1"/>
    <col min="6461" max="6461" width="10.28515625" bestFit="1" customWidth="1"/>
    <col min="6462" max="6463" width="9.28515625" bestFit="1" customWidth="1"/>
    <col min="6465" max="6465" width="10.28515625" bestFit="1" customWidth="1"/>
    <col min="6466" max="6467" width="9.28515625" bestFit="1" customWidth="1"/>
    <col min="6469" max="6469" width="10.28515625" bestFit="1" customWidth="1"/>
    <col min="6470" max="6471" width="9.28515625" bestFit="1" customWidth="1"/>
    <col min="6473" max="6473" width="10.28515625" bestFit="1" customWidth="1"/>
    <col min="6474" max="6475" width="9.28515625" bestFit="1" customWidth="1"/>
    <col min="6477" max="6477" width="10.28515625" bestFit="1" customWidth="1"/>
    <col min="6478" max="6479" width="9.28515625" bestFit="1" customWidth="1"/>
    <col min="6481" max="6481" width="10.28515625" bestFit="1" customWidth="1"/>
    <col min="6482" max="6483" width="9.28515625" bestFit="1" customWidth="1"/>
    <col min="6485" max="6485" width="10.28515625" bestFit="1" customWidth="1"/>
    <col min="6486" max="6487" width="9.28515625" bestFit="1" customWidth="1"/>
    <col min="6489" max="6489" width="10.28515625" bestFit="1" customWidth="1"/>
    <col min="6490" max="6491" width="9.28515625" bestFit="1" customWidth="1"/>
    <col min="6493" max="6493" width="10.28515625" bestFit="1" customWidth="1"/>
    <col min="6494" max="6495" width="9.28515625" bestFit="1" customWidth="1"/>
    <col min="6497" max="6497" width="10.28515625" bestFit="1" customWidth="1"/>
    <col min="6498" max="6499" width="9.28515625" bestFit="1" customWidth="1"/>
    <col min="6501" max="6501" width="10.28515625" bestFit="1" customWidth="1"/>
    <col min="6502" max="6503" width="9.28515625" bestFit="1" customWidth="1"/>
    <col min="6505" max="6505" width="10.28515625" bestFit="1" customWidth="1"/>
    <col min="6506" max="6507" width="9.28515625" bestFit="1" customWidth="1"/>
    <col min="6509" max="6509" width="10.28515625" bestFit="1" customWidth="1"/>
    <col min="6510" max="6511" width="9.28515625" bestFit="1" customWidth="1"/>
    <col min="6513" max="6513" width="10.28515625" bestFit="1" customWidth="1"/>
    <col min="6514" max="6515" width="9.28515625" bestFit="1" customWidth="1"/>
    <col min="6517" max="6517" width="10.28515625" bestFit="1" customWidth="1"/>
    <col min="6518" max="6519" width="9.28515625" bestFit="1" customWidth="1"/>
    <col min="6521" max="6521" width="10.28515625" bestFit="1" customWidth="1"/>
    <col min="6522" max="6523" width="9.28515625" bestFit="1" customWidth="1"/>
    <col min="6525" max="6525" width="10.28515625" bestFit="1" customWidth="1"/>
    <col min="6526" max="6527" width="9.28515625" bestFit="1" customWidth="1"/>
    <col min="6529" max="6529" width="10.28515625" bestFit="1" customWidth="1"/>
    <col min="6530" max="6531" width="9.28515625" bestFit="1" customWidth="1"/>
    <col min="6533" max="6533" width="10.28515625" bestFit="1" customWidth="1"/>
    <col min="6534" max="6535" width="9.28515625" bestFit="1" customWidth="1"/>
    <col min="6537" max="6537" width="10.28515625" bestFit="1" customWidth="1"/>
    <col min="6538" max="6539" width="9.28515625" bestFit="1" customWidth="1"/>
    <col min="6541" max="6541" width="10.28515625" bestFit="1" customWidth="1"/>
    <col min="6542" max="6543" width="9.28515625" bestFit="1" customWidth="1"/>
    <col min="6545" max="6545" width="10.28515625" bestFit="1" customWidth="1"/>
    <col min="6546" max="6547" width="9.28515625" bestFit="1" customWidth="1"/>
    <col min="6549" max="6549" width="10.28515625" bestFit="1" customWidth="1"/>
    <col min="6550" max="6551" width="9.28515625" bestFit="1" customWidth="1"/>
    <col min="6553" max="6553" width="10.28515625" bestFit="1" customWidth="1"/>
    <col min="6554" max="6555" width="9.28515625" bestFit="1" customWidth="1"/>
    <col min="6557" max="6557" width="10.28515625" bestFit="1" customWidth="1"/>
    <col min="6558" max="6559" width="9.28515625" bestFit="1" customWidth="1"/>
    <col min="6561" max="6561" width="10.28515625" bestFit="1" customWidth="1"/>
    <col min="6562" max="6563" width="9.28515625" bestFit="1" customWidth="1"/>
    <col min="6565" max="6565" width="10.28515625" bestFit="1" customWidth="1"/>
    <col min="6566" max="6567" width="9.28515625" bestFit="1" customWidth="1"/>
    <col min="6569" max="6569" width="10.28515625" bestFit="1" customWidth="1"/>
    <col min="6570" max="6571" width="9.28515625" bestFit="1" customWidth="1"/>
    <col min="6573" max="6573" width="10.28515625" bestFit="1" customWidth="1"/>
    <col min="6574" max="6575" width="9.28515625" bestFit="1" customWidth="1"/>
    <col min="6577" max="6577" width="10.28515625" bestFit="1" customWidth="1"/>
    <col min="6578" max="6579" width="9.28515625" bestFit="1" customWidth="1"/>
    <col min="6581" max="6581" width="10.28515625" bestFit="1" customWidth="1"/>
    <col min="6582" max="6583" width="9.28515625" bestFit="1" customWidth="1"/>
    <col min="6585" max="6585" width="10.28515625" bestFit="1" customWidth="1"/>
    <col min="6586" max="6587" width="9.28515625" bestFit="1" customWidth="1"/>
    <col min="6589" max="6589" width="10.28515625" bestFit="1" customWidth="1"/>
    <col min="6590" max="6591" width="9.28515625" bestFit="1" customWidth="1"/>
    <col min="6593" max="6593" width="10.28515625" bestFit="1" customWidth="1"/>
    <col min="6594" max="6595" width="9.28515625" bestFit="1" customWidth="1"/>
    <col min="6597" max="6597" width="10.28515625" bestFit="1" customWidth="1"/>
    <col min="6598" max="6599" width="9.28515625" bestFit="1" customWidth="1"/>
    <col min="6601" max="6601" width="10.28515625" bestFit="1" customWidth="1"/>
    <col min="6602" max="6603" width="9.28515625" bestFit="1" customWidth="1"/>
    <col min="6605" max="6605" width="10.28515625" bestFit="1" customWidth="1"/>
    <col min="6606" max="6607" width="9.28515625" bestFit="1" customWidth="1"/>
    <col min="6609" max="6609" width="10.28515625" bestFit="1" customWidth="1"/>
    <col min="6610" max="6611" width="9.28515625" bestFit="1" customWidth="1"/>
    <col min="6613" max="6613" width="10.28515625" bestFit="1" customWidth="1"/>
    <col min="6614" max="6615" width="9.28515625" bestFit="1" customWidth="1"/>
    <col min="6617" max="6617" width="10.28515625" bestFit="1" customWidth="1"/>
    <col min="6618" max="6619" width="9.28515625" bestFit="1" customWidth="1"/>
    <col min="6621" max="6621" width="10.28515625" bestFit="1" customWidth="1"/>
    <col min="6622" max="6623" width="9.28515625" bestFit="1" customWidth="1"/>
    <col min="6625" max="6625" width="10.28515625" bestFit="1" customWidth="1"/>
    <col min="6626" max="6627" width="9.28515625" bestFit="1" customWidth="1"/>
    <col min="6629" max="6629" width="10.28515625" bestFit="1" customWidth="1"/>
    <col min="6630" max="6631" width="9.28515625" bestFit="1" customWidth="1"/>
    <col min="6633" max="6633" width="10.28515625" bestFit="1" customWidth="1"/>
    <col min="6634" max="6635" width="9.28515625" bestFit="1" customWidth="1"/>
    <col min="6637" max="6637" width="10.28515625" bestFit="1" customWidth="1"/>
    <col min="6638" max="6639" width="9.28515625" bestFit="1" customWidth="1"/>
    <col min="6641" max="6641" width="10.28515625" bestFit="1" customWidth="1"/>
    <col min="6642" max="6643" width="9.28515625" bestFit="1" customWidth="1"/>
    <col min="6645" max="6645" width="10.28515625" bestFit="1" customWidth="1"/>
    <col min="6646" max="6647" width="9.28515625" bestFit="1" customWidth="1"/>
    <col min="6649" max="6649" width="10.28515625" bestFit="1" customWidth="1"/>
    <col min="6650" max="6651" width="9.28515625" bestFit="1" customWidth="1"/>
    <col min="6653" max="6653" width="10.28515625" bestFit="1" customWidth="1"/>
    <col min="6654" max="6655" width="9.28515625" bestFit="1" customWidth="1"/>
    <col min="6657" max="6657" width="10.28515625" bestFit="1" customWidth="1"/>
    <col min="6658" max="6659" width="9.28515625" bestFit="1" customWidth="1"/>
    <col min="6661" max="6661" width="10.28515625" bestFit="1" customWidth="1"/>
    <col min="6662" max="6663" width="9.28515625" bestFit="1" customWidth="1"/>
    <col min="6665" max="6665" width="10.28515625" bestFit="1" customWidth="1"/>
    <col min="6666" max="6667" width="9.28515625" bestFit="1" customWidth="1"/>
    <col min="6669" max="6669" width="10.28515625" bestFit="1" customWidth="1"/>
    <col min="6670" max="6671" width="9.28515625" bestFit="1" customWidth="1"/>
    <col min="6673" max="6673" width="10.28515625" bestFit="1" customWidth="1"/>
    <col min="6674" max="6675" width="9.28515625" bestFit="1" customWidth="1"/>
    <col min="6677" max="6677" width="10.28515625" bestFit="1" customWidth="1"/>
    <col min="6678" max="6679" width="9.28515625" bestFit="1" customWidth="1"/>
    <col min="6681" max="6681" width="10.28515625" bestFit="1" customWidth="1"/>
    <col min="6682" max="6683" width="9.28515625" bestFit="1" customWidth="1"/>
    <col min="6685" max="6685" width="10.28515625" bestFit="1" customWidth="1"/>
    <col min="6686" max="6687" width="9.28515625" bestFit="1" customWidth="1"/>
    <col min="6689" max="6689" width="10.28515625" bestFit="1" customWidth="1"/>
    <col min="6690" max="6691" width="9.28515625" bestFit="1" customWidth="1"/>
    <col min="6693" max="6693" width="10.28515625" bestFit="1" customWidth="1"/>
    <col min="6694" max="6695" width="9.28515625" bestFit="1" customWidth="1"/>
    <col min="6697" max="6697" width="10.28515625" bestFit="1" customWidth="1"/>
    <col min="6698" max="6699" width="9.28515625" bestFit="1" customWidth="1"/>
    <col min="6701" max="6701" width="10.28515625" bestFit="1" customWidth="1"/>
    <col min="6702" max="6703" width="9.28515625" bestFit="1" customWidth="1"/>
    <col min="6705" max="6705" width="10.28515625" bestFit="1" customWidth="1"/>
    <col min="6706" max="6707" width="9.28515625" bestFit="1" customWidth="1"/>
    <col min="6709" max="6709" width="10.28515625" bestFit="1" customWidth="1"/>
    <col min="6710" max="6711" width="9.28515625" bestFit="1" customWidth="1"/>
    <col min="6713" max="6713" width="10.28515625" bestFit="1" customWidth="1"/>
    <col min="6714" max="6715" width="9.28515625" bestFit="1" customWidth="1"/>
    <col min="6717" max="6717" width="10.28515625" bestFit="1" customWidth="1"/>
    <col min="6718" max="6719" width="9.28515625" bestFit="1" customWidth="1"/>
    <col min="6721" max="6721" width="10.28515625" bestFit="1" customWidth="1"/>
    <col min="6722" max="6723" width="9.28515625" bestFit="1" customWidth="1"/>
    <col min="6725" max="6725" width="10.28515625" bestFit="1" customWidth="1"/>
    <col min="6726" max="6727" width="9.28515625" bestFit="1" customWidth="1"/>
    <col min="6729" max="6729" width="10.28515625" bestFit="1" customWidth="1"/>
    <col min="6730" max="6731" width="9.28515625" bestFit="1" customWidth="1"/>
    <col min="6733" max="6733" width="10.28515625" bestFit="1" customWidth="1"/>
    <col min="6734" max="6735" width="9.28515625" bestFit="1" customWidth="1"/>
    <col min="6737" max="6737" width="10.28515625" bestFit="1" customWidth="1"/>
    <col min="6738" max="6739" width="9.28515625" bestFit="1" customWidth="1"/>
    <col min="6741" max="6741" width="10.28515625" bestFit="1" customWidth="1"/>
    <col min="6742" max="6743" width="9.28515625" bestFit="1" customWidth="1"/>
    <col min="6745" max="6745" width="10.28515625" bestFit="1" customWidth="1"/>
    <col min="6746" max="6747" width="9.28515625" bestFit="1" customWidth="1"/>
    <col min="6749" max="6749" width="10.28515625" bestFit="1" customWidth="1"/>
    <col min="6750" max="6751" width="9.28515625" bestFit="1" customWidth="1"/>
    <col min="6753" max="6753" width="10.28515625" bestFit="1" customWidth="1"/>
    <col min="6754" max="6755" width="9.28515625" bestFit="1" customWidth="1"/>
    <col min="6757" max="6757" width="10.28515625" bestFit="1" customWidth="1"/>
    <col min="6758" max="6759" width="9.28515625" bestFit="1" customWidth="1"/>
    <col min="6761" max="6761" width="10.28515625" bestFit="1" customWidth="1"/>
    <col min="6762" max="6763" width="9.28515625" bestFit="1" customWidth="1"/>
    <col min="6765" max="6765" width="10.28515625" bestFit="1" customWidth="1"/>
    <col min="6766" max="6767" width="9.28515625" bestFit="1" customWidth="1"/>
    <col min="6769" max="6769" width="10.28515625" bestFit="1" customWidth="1"/>
    <col min="6770" max="6771" width="9.28515625" bestFit="1" customWidth="1"/>
    <col min="6773" max="6773" width="10.28515625" bestFit="1" customWidth="1"/>
    <col min="6774" max="6775" width="9.28515625" bestFit="1" customWidth="1"/>
    <col min="6777" max="6777" width="10.28515625" bestFit="1" customWidth="1"/>
    <col min="6778" max="6779" width="9.28515625" bestFit="1" customWidth="1"/>
    <col min="6781" max="6781" width="10.28515625" bestFit="1" customWidth="1"/>
    <col min="6782" max="6783" width="9.28515625" bestFit="1" customWidth="1"/>
    <col min="6785" max="6785" width="10.28515625" bestFit="1" customWidth="1"/>
    <col min="6786" max="6787" width="9.28515625" bestFit="1" customWidth="1"/>
    <col min="6789" max="6789" width="10.28515625" bestFit="1" customWidth="1"/>
    <col min="6790" max="6791" width="9.28515625" bestFit="1" customWidth="1"/>
    <col min="6793" max="6793" width="10.28515625" bestFit="1" customWidth="1"/>
    <col min="6794" max="6795" width="9.28515625" bestFit="1" customWidth="1"/>
    <col min="6797" max="6797" width="10.28515625" bestFit="1" customWidth="1"/>
    <col min="6798" max="6799" width="9.28515625" bestFit="1" customWidth="1"/>
    <col min="6801" max="6801" width="10.28515625" bestFit="1" customWidth="1"/>
    <col min="6802" max="6803" width="9.28515625" bestFit="1" customWidth="1"/>
    <col min="6805" max="6805" width="10.28515625" bestFit="1" customWidth="1"/>
    <col min="6806" max="6807" width="9.28515625" bestFit="1" customWidth="1"/>
    <col min="6809" max="6809" width="10.28515625" bestFit="1" customWidth="1"/>
    <col min="6810" max="6811" width="9.28515625" bestFit="1" customWidth="1"/>
    <col min="6813" max="6813" width="10.28515625" bestFit="1" customWidth="1"/>
    <col min="6814" max="6815" width="9.28515625" bestFit="1" customWidth="1"/>
    <col min="6817" max="6817" width="10.28515625" bestFit="1" customWidth="1"/>
    <col min="6818" max="6819" width="9.28515625" bestFit="1" customWidth="1"/>
    <col min="6821" max="6821" width="10.28515625" bestFit="1" customWidth="1"/>
    <col min="6822" max="6823" width="9.28515625" bestFit="1" customWidth="1"/>
    <col min="6825" max="6825" width="10.28515625" bestFit="1" customWidth="1"/>
    <col min="6826" max="6827" width="9.28515625" bestFit="1" customWidth="1"/>
    <col min="6829" max="6829" width="10.28515625" bestFit="1" customWidth="1"/>
    <col min="6830" max="6831" width="9.28515625" bestFit="1" customWidth="1"/>
    <col min="6833" max="6833" width="10.28515625" bestFit="1" customWidth="1"/>
    <col min="6834" max="6835" width="9.28515625" bestFit="1" customWidth="1"/>
    <col min="6837" max="6837" width="10.28515625" bestFit="1" customWidth="1"/>
    <col min="6838" max="6839" width="9.28515625" bestFit="1" customWidth="1"/>
    <col min="6841" max="6841" width="10.28515625" bestFit="1" customWidth="1"/>
    <col min="6842" max="6843" width="9.28515625" bestFit="1" customWidth="1"/>
    <col min="6845" max="6845" width="10.28515625" bestFit="1" customWidth="1"/>
    <col min="6846" max="6847" width="9.28515625" bestFit="1" customWidth="1"/>
    <col min="6849" max="6849" width="10.28515625" bestFit="1" customWidth="1"/>
    <col min="6850" max="6851" width="9.28515625" bestFit="1" customWidth="1"/>
    <col min="6853" max="6853" width="10.28515625" bestFit="1" customWidth="1"/>
    <col min="6854" max="6855" width="9.28515625" bestFit="1" customWidth="1"/>
    <col min="6857" max="6857" width="10.28515625" bestFit="1" customWidth="1"/>
    <col min="6858" max="6859" width="9.28515625" bestFit="1" customWidth="1"/>
    <col min="6861" max="6861" width="10.28515625" bestFit="1" customWidth="1"/>
    <col min="6862" max="6863" width="9.28515625" bestFit="1" customWidth="1"/>
    <col min="6865" max="6865" width="10.28515625" bestFit="1" customWidth="1"/>
    <col min="6866" max="6867" width="9.28515625" bestFit="1" customWidth="1"/>
    <col min="6869" max="6869" width="10.28515625" bestFit="1" customWidth="1"/>
    <col min="6870" max="6871" width="9.28515625" bestFit="1" customWidth="1"/>
    <col min="6873" max="6873" width="10.28515625" bestFit="1" customWidth="1"/>
    <col min="6874" max="6875" width="9.28515625" bestFit="1" customWidth="1"/>
    <col min="6877" max="6877" width="10.28515625" bestFit="1" customWidth="1"/>
    <col min="6878" max="6879" width="9.28515625" bestFit="1" customWidth="1"/>
    <col min="6881" max="6881" width="10.28515625" bestFit="1" customWidth="1"/>
    <col min="6882" max="6883" width="9.28515625" bestFit="1" customWidth="1"/>
    <col min="6885" max="6885" width="10.28515625" bestFit="1" customWidth="1"/>
    <col min="6886" max="6887" width="9.28515625" bestFit="1" customWidth="1"/>
    <col min="6889" max="6889" width="10.28515625" bestFit="1" customWidth="1"/>
    <col min="6890" max="6891" width="9.28515625" bestFit="1" customWidth="1"/>
    <col min="6893" max="6893" width="10.28515625" bestFit="1" customWidth="1"/>
    <col min="6894" max="6895" width="9.28515625" bestFit="1" customWidth="1"/>
    <col min="6897" max="6897" width="10.28515625" bestFit="1" customWidth="1"/>
    <col min="6898" max="6899" width="9.28515625" bestFit="1" customWidth="1"/>
    <col min="6901" max="6901" width="10.28515625" bestFit="1" customWidth="1"/>
    <col min="6902" max="6903" width="9.28515625" bestFit="1" customWidth="1"/>
    <col min="6905" max="6905" width="10.28515625" bestFit="1" customWidth="1"/>
    <col min="6906" max="6907" width="9.28515625" bestFit="1" customWidth="1"/>
    <col min="6909" max="6909" width="10.28515625" bestFit="1" customWidth="1"/>
    <col min="6910" max="6911" width="9.28515625" bestFit="1" customWidth="1"/>
    <col min="6913" max="6913" width="10.28515625" bestFit="1" customWidth="1"/>
    <col min="6914" max="6915" width="9.28515625" bestFit="1" customWidth="1"/>
    <col min="6917" max="6917" width="10.28515625" bestFit="1" customWidth="1"/>
    <col min="6918" max="6919" width="9.28515625" bestFit="1" customWidth="1"/>
    <col min="6921" max="6921" width="10.28515625" bestFit="1" customWidth="1"/>
    <col min="6922" max="6923" width="9.28515625" bestFit="1" customWidth="1"/>
    <col min="6925" max="6925" width="10.28515625" bestFit="1" customWidth="1"/>
    <col min="6926" max="6927" width="9.28515625" bestFit="1" customWidth="1"/>
    <col min="6929" max="6929" width="10.28515625" bestFit="1" customWidth="1"/>
    <col min="6930" max="6931" width="9.28515625" bestFit="1" customWidth="1"/>
    <col min="6933" max="6933" width="10.28515625" bestFit="1" customWidth="1"/>
    <col min="6934" max="6935" width="9.28515625" bestFit="1" customWidth="1"/>
    <col min="6937" max="6937" width="10.28515625" bestFit="1" customWidth="1"/>
    <col min="6938" max="6939" width="9.28515625" bestFit="1" customWidth="1"/>
    <col min="6941" max="6941" width="10.28515625" bestFit="1" customWidth="1"/>
    <col min="6942" max="6943" width="9.28515625" bestFit="1" customWidth="1"/>
    <col min="6945" max="6945" width="10.28515625" bestFit="1" customWidth="1"/>
    <col min="6946" max="6947" width="9.28515625" bestFit="1" customWidth="1"/>
    <col min="6949" max="6949" width="10.28515625" bestFit="1" customWidth="1"/>
    <col min="6950" max="6951" width="9.28515625" bestFit="1" customWidth="1"/>
    <col min="6953" max="6953" width="10.28515625" bestFit="1" customWidth="1"/>
    <col min="6954" max="6955" width="9.28515625" bestFit="1" customWidth="1"/>
    <col min="6957" max="6957" width="10.28515625" bestFit="1" customWidth="1"/>
    <col min="6958" max="6959" width="9.28515625" bestFit="1" customWidth="1"/>
    <col min="6961" max="6961" width="10.28515625" bestFit="1" customWidth="1"/>
    <col min="6962" max="6963" width="9.28515625" bestFit="1" customWidth="1"/>
    <col min="6965" max="6965" width="10.28515625" bestFit="1" customWidth="1"/>
    <col min="6966" max="6967" width="9.28515625" bestFit="1" customWidth="1"/>
    <col min="6969" max="6969" width="10.28515625" bestFit="1" customWidth="1"/>
    <col min="6970" max="6971" width="9.28515625" bestFit="1" customWidth="1"/>
    <col min="6973" max="6973" width="10.28515625" bestFit="1" customWidth="1"/>
    <col min="6974" max="6975" width="9.28515625" bestFit="1" customWidth="1"/>
    <col min="6977" max="6977" width="10.28515625" bestFit="1" customWidth="1"/>
    <col min="6978" max="6979" width="9.28515625" bestFit="1" customWidth="1"/>
    <col min="6981" max="6981" width="10.28515625" bestFit="1" customWidth="1"/>
    <col min="6982" max="6983" width="9.28515625" bestFit="1" customWidth="1"/>
    <col min="6985" max="6985" width="10.28515625" bestFit="1" customWidth="1"/>
    <col min="6986" max="6987" width="9.28515625" bestFit="1" customWidth="1"/>
    <col min="6989" max="6989" width="10.28515625" bestFit="1" customWidth="1"/>
    <col min="6990" max="6991" width="9.28515625" bestFit="1" customWidth="1"/>
    <col min="6993" max="6993" width="10.28515625" bestFit="1" customWidth="1"/>
    <col min="6994" max="6995" width="9.28515625" bestFit="1" customWidth="1"/>
    <col min="6997" max="6997" width="10.28515625" bestFit="1" customWidth="1"/>
    <col min="6998" max="6999" width="9.28515625" bestFit="1" customWidth="1"/>
    <col min="7001" max="7001" width="10.28515625" bestFit="1" customWidth="1"/>
    <col min="7002" max="7003" width="9.28515625" bestFit="1" customWidth="1"/>
    <col min="7005" max="7005" width="10.28515625" bestFit="1" customWidth="1"/>
    <col min="7006" max="7007" width="9.28515625" bestFit="1" customWidth="1"/>
    <col min="7009" max="7009" width="10.28515625" bestFit="1" customWidth="1"/>
    <col min="7010" max="7011" width="9.28515625" bestFit="1" customWidth="1"/>
    <col min="7013" max="7013" width="10.28515625" bestFit="1" customWidth="1"/>
    <col min="7014" max="7015" width="9.28515625" bestFit="1" customWidth="1"/>
    <col min="7017" max="7017" width="10.28515625" bestFit="1" customWidth="1"/>
    <col min="7018" max="7019" width="9.28515625" bestFit="1" customWidth="1"/>
    <col min="7021" max="7021" width="10.28515625" bestFit="1" customWidth="1"/>
    <col min="7022" max="7023" width="9.28515625" bestFit="1" customWidth="1"/>
    <col min="7025" max="7025" width="10.28515625" bestFit="1" customWidth="1"/>
    <col min="7026" max="7027" width="9.28515625" bestFit="1" customWidth="1"/>
    <col min="7029" max="7029" width="10.28515625" bestFit="1" customWidth="1"/>
    <col min="7030" max="7031" width="9.28515625" bestFit="1" customWidth="1"/>
    <col min="7033" max="7033" width="10.28515625" bestFit="1" customWidth="1"/>
    <col min="7034" max="7035" width="9.28515625" bestFit="1" customWidth="1"/>
    <col min="7037" max="7037" width="10.28515625" bestFit="1" customWidth="1"/>
    <col min="7038" max="7039" width="9.28515625" bestFit="1" customWidth="1"/>
    <col min="7041" max="7041" width="10.28515625" bestFit="1" customWidth="1"/>
    <col min="7042" max="7043" width="9.28515625" bestFit="1" customWidth="1"/>
    <col min="7045" max="7045" width="10.28515625" bestFit="1" customWidth="1"/>
    <col min="7046" max="7047" width="9.28515625" bestFit="1" customWidth="1"/>
    <col min="7049" max="7049" width="10.28515625" bestFit="1" customWidth="1"/>
    <col min="7050" max="7051" width="9.28515625" bestFit="1" customWidth="1"/>
    <col min="7053" max="7053" width="10.28515625" bestFit="1" customWidth="1"/>
    <col min="7054" max="7055" width="9.28515625" bestFit="1" customWidth="1"/>
    <col min="7057" max="7057" width="10.28515625" bestFit="1" customWidth="1"/>
    <col min="7058" max="7059" width="9.28515625" bestFit="1" customWidth="1"/>
    <col min="7061" max="7061" width="10.28515625" bestFit="1" customWidth="1"/>
    <col min="7062" max="7063" width="9.28515625" bestFit="1" customWidth="1"/>
    <col min="7065" max="7065" width="10.28515625" bestFit="1" customWidth="1"/>
    <col min="7066" max="7067" width="9.28515625" bestFit="1" customWidth="1"/>
    <col min="7069" max="7069" width="10.28515625" bestFit="1" customWidth="1"/>
    <col min="7070" max="7071" width="9.28515625" bestFit="1" customWidth="1"/>
    <col min="7073" max="7073" width="10.28515625" bestFit="1" customWidth="1"/>
    <col min="7074" max="7075" width="9.28515625" bestFit="1" customWidth="1"/>
    <col min="7077" max="7077" width="10.28515625" bestFit="1" customWidth="1"/>
    <col min="7078" max="7079" width="9.28515625" bestFit="1" customWidth="1"/>
    <col min="7081" max="7081" width="10.28515625" bestFit="1" customWidth="1"/>
    <col min="7082" max="7083" width="9.28515625" bestFit="1" customWidth="1"/>
    <col min="7085" max="7085" width="10.28515625" bestFit="1" customWidth="1"/>
    <col min="7086" max="7087" width="9.28515625" bestFit="1" customWidth="1"/>
    <col min="7089" max="7089" width="10.28515625" bestFit="1" customWidth="1"/>
    <col min="7090" max="7091" width="9.28515625" bestFit="1" customWidth="1"/>
    <col min="7093" max="7093" width="10.28515625" bestFit="1" customWidth="1"/>
    <col min="7094" max="7095" width="9.28515625" bestFit="1" customWidth="1"/>
    <col min="7097" max="7097" width="10.28515625" bestFit="1" customWidth="1"/>
    <col min="7098" max="7099" width="9.28515625" bestFit="1" customWidth="1"/>
    <col min="7101" max="7101" width="10.28515625" bestFit="1" customWidth="1"/>
    <col min="7102" max="7103" width="9.28515625" bestFit="1" customWidth="1"/>
    <col min="7105" max="7105" width="10.28515625" bestFit="1" customWidth="1"/>
    <col min="7106" max="7107" width="9.28515625" bestFit="1" customWidth="1"/>
    <col min="7109" max="7109" width="10.28515625" bestFit="1" customWidth="1"/>
    <col min="7110" max="7111" width="9.28515625" bestFit="1" customWidth="1"/>
    <col min="7113" max="7113" width="10.28515625" bestFit="1" customWidth="1"/>
    <col min="7114" max="7115" width="9.28515625" bestFit="1" customWidth="1"/>
    <col min="7117" max="7117" width="10.28515625" bestFit="1" customWidth="1"/>
    <col min="7118" max="7119" width="9.28515625" bestFit="1" customWidth="1"/>
    <col min="7121" max="7121" width="10.28515625" bestFit="1" customWidth="1"/>
    <col min="7122" max="7123" width="9.28515625" bestFit="1" customWidth="1"/>
    <col min="7125" max="7125" width="10.28515625" bestFit="1" customWidth="1"/>
    <col min="7126" max="7127" width="9.28515625" bestFit="1" customWidth="1"/>
    <col min="7129" max="7129" width="10.28515625" bestFit="1" customWidth="1"/>
    <col min="7130" max="7131" width="9.28515625" bestFit="1" customWidth="1"/>
    <col min="7133" max="7133" width="10.28515625" bestFit="1" customWidth="1"/>
    <col min="7134" max="7135" width="9.28515625" bestFit="1" customWidth="1"/>
    <col min="7137" max="7137" width="10.28515625" bestFit="1" customWidth="1"/>
    <col min="7138" max="7139" width="9.28515625" bestFit="1" customWidth="1"/>
    <col min="7141" max="7141" width="10.28515625" bestFit="1" customWidth="1"/>
    <col min="7142" max="7143" width="9.28515625" bestFit="1" customWidth="1"/>
    <col min="7145" max="7145" width="10.28515625" bestFit="1" customWidth="1"/>
    <col min="7146" max="7147" width="9.28515625" bestFit="1" customWidth="1"/>
    <col min="7149" max="7149" width="10.28515625" bestFit="1" customWidth="1"/>
    <col min="7150" max="7151" width="9.28515625" bestFit="1" customWidth="1"/>
    <col min="7153" max="7153" width="10.28515625" bestFit="1" customWidth="1"/>
    <col min="7154" max="7155" width="9.28515625" bestFit="1" customWidth="1"/>
    <col min="7157" max="7157" width="10.28515625" bestFit="1" customWidth="1"/>
    <col min="7158" max="7159" width="9.28515625" bestFit="1" customWidth="1"/>
    <col min="7161" max="7161" width="10.28515625" bestFit="1" customWidth="1"/>
    <col min="7162" max="7163" width="9.28515625" bestFit="1" customWidth="1"/>
    <col min="7165" max="7165" width="10.28515625" bestFit="1" customWidth="1"/>
    <col min="7166" max="7167" width="9.28515625" bestFit="1" customWidth="1"/>
    <col min="7169" max="7169" width="10.28515625" bestFit="1" customWidth="1"/>
    <col min="7170" max="7171" width="9.28515625" bestFit="1" customWidth="1"/>
    <col min="7173" max="7173" width="10.28515625" bestFit="1" customWidth="1"/>
    <col min="7174" max="7175" width="9.28515625" bestFit="1" customWidth="1"/>
    <col min="7177" max="7177" width="10.28515625" bestFit="1" customWidth="1"/>
    <col min="7178" max="7179" width="9.28515625" bestFit="1" customWidth="1"/>
    <col min="7181" max="7181" width="10.28515625" bestFit="1" customWidth="1"/>
    <col min="7182" max="7183" width="9.28515625" bestFit="1" customWidth="1"/>
    <col min="7185" max="7185" width="10.28515625" bestFit="1" customWidth="1"/>
    <col min="7186" max="7187" width="9.28515625" bestFit="1" customWidth="1"/>
    <col min="7189" max="7189" width="10.28515625" bestFit="1" customWidth="1"/>
    <col min="7190" max="7191" width="9.28515625" bestFit="1" customWidth="1"/>
    <col min="7193" max="7193" width="10.28515625" bestFit="1" customWidth="1"/>
    <col min="7194" max="7195" width="9.28515625" bestFit="1" customWidth="1"/>
    <col min="7197" max="7197" width="10.28515625" bestFit="1" customWidth="1"/>
    <col min="7198" max="7199" width="9.28515625" bestFit="1" customWidth="1"/>
    <col min="7201" max="7201" width="10.28515625" bestFit="1" customWidth="1"/>
    <col min="7202" max="7203" width="9.28515625" bestFit="1" customWidth="1"/>
    <col min="7205" max="7205" width="10.28515625" bestFit="1" customWidth="1"/>
    <col min="7206" max="7207" width="9.28515625" bestFit="1" customWidth="1"/>
    <col min="7209" max="7209" width="10.28515625" bestFit="1" customWidth="1"/>
    <col min="7210" max="7211" width="9.28515625" bestFit="1" customWidth="1"/>
    <col min="7213" max="7213" width="10.28515625" bestFit="1" customWidth="1"/>
    <col min="7214" max="7215" width="9.28515625" bestFit="1" customWidth="1"/>
    <col min="7217" max="7217" width="10.28515625" bestFit="1" customWidth="1"/>
    <col min="7218" max="7219" width="9.28515625" bestFit="1" customWidth="1"/>
    <col min="7221" max="7221" width="10.28515625" bestFit="1" customWidth="1"/>
    <col min="7222" max="7223" width="9.28515625" bestFit="1" customWidth="1"/>
    <col min="7225" max="7225" width="10.28515625" bestFit="1" customWidth="1"/>
    <col min="7226" max="7227" width="9.28515625" bestFit="1" customWidth="1"/>
    <col min="7229" max="7229" width="10.28515625" bestFit="1" customWidth="1"/>
    <col min="7230" max="7231" width="9.28515625" bestFit="1" customWidth="1"/>
    <col min="7233" max="7233" width="10.28515625" bestFit="1" customWidth="1"/>
    <col min="7234" max="7235" width="9.28515625" bestFit="1" customWidth="1"/>
    <col min="7237" max="7237" width="10.28515625" bestFit="1" customWidth="1"/>
    <col min="7238" max="7239" width="9.28515625" bestFit="1" customWidth="1"/>
    <col min="7241" max="7241" width="10.28515625" bestFit="1" customWidth="1"/>
    <col min="7242" max="7243" width="9.28515625" bestFit="1" customWidth="1"/>
    <col min="7245" max="7245" width="10.28515625" bestFit="1" customWidth="1"/>
    <col min="7246" max="7247" width="9.28515625" bestFit="1" customWidth="1"/>
    <col min="7249" max="7249" width="10.28515625" bestFit="1" customWidth="1"/>
    <col min="7250" max="7251" width="9.28515625" bestFit="1" customWidth="1"/>
    <col min="7253" max="7253" width="10.28515625" bestFit="1" customWidth="1"/>
    <col min="7254" max="7255" width="9.28515625" bestFit="1" customWidth="1"/>
    <col min="7257" max="7257" width="10.28515625" bestFit="1" customWidth="1"/>
    <col min="7258" max="7259" width="9.28515625" bestFit="1" customWidth="1"/>
    <col min="7261" max="7261" width="10.28515625" bestFit="1" customWidth="1"/>
    <col min="7262" max="7263" width="9.28515625" bestFit="1" customWidth="1"/>
    <col min="7265" max="7265" width="10.28515625" bestFit="1" customWidth="1"/>
    <col min="7266" max="7267" width="9.28515625" bestFit="1" customWidth="1"/>
    <col min="7269" max="7269" width="10.28515625" bestFit="1" customWidth="1"/>
    <col min="7270" max="7271" width="9.28515625" bestFit="1" customWidth="1"/>
    <col min="7273" max="7273" width="10.28515625" bestFit="1" customWidth="1"/>
    <col min="7274" max="7275" width="9.28515625" bestFit="1" customWidth="1"/>
    <col min="7277" max="7277" width="10.28515625" bestFit="1" customWidth="1"/>
    <col min="7278" max="7279" width="9.28515625" bestFit="1" customWidth="1"/>
    <col min="7281" max="7281" width="10.28515625" bestFit="1" customWidth="1"/>
    <col min="7282" max="7283" width="9.28515625" bestFit="1" customWidth="1"/>
    <col min="7285" max="7285" width="10.28515625" bestFit="1" customWidth="1"/>
    <col min="7286" max="7287" width="9.28515625" bestFit="1" customWidth="1"/>
    <col min="7289" max="7289" width="10.28515625" bestFit="1" customWidth="1"/>
    <col min="7290" max="7291" width="9.28515625" bestFit="1" customWidth="1"/>
    <col min="7293" max="7293" width="10.28515625" bestFit="1" customWidth="1"/>
    <col min="7294" max="7295" width="9.28515625" bestFit="1" customWidth="1"/>
    <col min="7297" max="7297" width="10.28515625" bestFit="1" customWidth="1"/>
    <col min="7298" max="7299" width="9.28515625" bestFit="1" customWidth="1"/>
    <col min="7301" max="7301" width="10.28515625" bestFit="1" customWidth="1"/>
    <col min="7302" max="7303" width="9.28515625" bestFit="1" customWidth="1"/>
    <col min="7305" max="7305" width="10.28515625" bestFit="1" customWidth="1"/>
    <col min="7306" max="7307" width="9.28515625" bestFit="1" customWidth="1"/>
    <col min="7309" max="7309" width="10.28515625" bestFit="1" customWidth="1"/>
    <col min="7310" max="7311" width="9.28515625" bestFit="1" customWidth="1"/>
    <col min="7313" max="7313" width="10.28515625" bestFit="1" customWidth="1"/>
    <col min="7314" max="7315" width="9.28515625" bestFit="1" customWidth="1"/>
    <col min="7317" max="7317" width="10.28515625" bestFit="1" customWidth="1"/>
    <col min="7318" max="7319" width="9.28515625" bestFit="1" customWidth="1"/>
    <col min="7321" max="7321" width="10.28515625" bestFit="1" customWidth="1"/>
    <col min="7322" max="7323" width="9.28515625" bestFit="1" customWidth="1"/>
    <col min="7325" max="7325" width="10.28515625" bestFit="1" customWidth="1"/>
    <col min="7326" max="7327" width="9.28515625" bestFit="1" customWidth="1"/>
    <col min="7329" max="7329" width="10.28515625" bestFit="1" customWidth="1"/>
    <col min="7330" max="7331" width="9.28515625" bestFit="1" customWidth="1"/>
    <col min="7333" max="7333" width="10.28515625" bestFit="1" customWidth="1"/>
    <col min="7334" max="7335" width="9.28515625" bestFit="1" customWidth="1"/>
    <col min="7337" max="7337" width="10.28515625" bestFit="1" customWidth="1"/>
    <col min="7338" max="7339" width="9.28515625" bestFit="1" customWidth="1"/>
    <col min="7341" max="7341" width="10.28515625" bestFit="1" customWidth="1"/>
    <col min="7342" max="7343" width="9.28515625" bestFit="1" customWidth="1"/>
    <col min="7345" max="7345" width="10.28515625" bestFit="1" customWidth="1"/>
    <col min="7346" max="7347" width="9.28515625" bestFit="1" customWidth="1"/>
    <col min="7349" max="7349" width="10.28515625" bestFit="1" customWidth="1"/>
    <col min="7350" max="7351" width="9.28515625" bestFit="1" customWidth="1"/>
    <col min="7353" max="7353" width="10.28515625" bestFit="1" customWidth="1"/>
    <col min="7354" max="7355" width="9.28515625" bestFit="1" customWidth="1"/>
    <col min="7357" max="7357" width="10.28515625" bestFit="1" customWidth="1"/>
    <col min="7358" max="7359" width="9.28515625" bestFit="1" customWidth="1"/>
    <col min="7361" max="7361" width="10.28515625" bestFit="1" customWidth="1"/>
    <col min="7362" max="7363" width="9.28515625" bestFit="1" customWidth="1"/>
    <col min="7365" max="7365" width="10.28515625" bestFit="1" customWidth="1"/>
    <col min="7366" max="7367" width="9.28515625" bestFit="1" customWidth="1"/>
    <col min="7369" max="7369" width="10.28515625" bestFit="1" customWidth="1"/>
    <col min="7370" max="7371" width="9.28515625" bestFit="1" customWidth="1"/>
    <col min="7373" max="7373" width="10.28515625" bestFit="1" customWidth="1"/>
    <col min="7374" max="7375" width="9.28515625" bestFit="1" customWidth="1"/>
    <col min="7377" max="7377" width="10.28515625" bestFit="1" customWidth="1"/>
    <col min="7378" max="7379" width="9.28515625" bestFit="1" customWidth="1"/>
    <col min="7381" max="7381" width="10.28515625" bestFit="1" customWidth="1"/>
    <col min="7382" max="7383" width="9.28515625" bestFit="1" customWidth="1"/>
    <col min="7385" max="7385" width="10.28515625" bestFit="1" customWidth="1"/>
    <col min="7386" max="7387" width="9.28515625" bestFit="1" customWidth="1"/>
    <col min="7389" max="7389" width="10.28515625" bestFit="1" customWidth="1"/>
    <col min="7390" max="7391" width="9.28515625" bestFit="1" customWidth="1"/>
    <col min="7393" max="7393" width="10.28515625" bestFit="1" customWidth="1"/>
    <col min="7394" max="7395" width="9.28515625" bestFit="1" customWidth="1"/>
    <col min="7397" max="7397" width="10.28515625" bestFit="1" customWidth="1"/>
    <col min="7398" max="7399" width="9.28515625" bestFit="1" customWidth="1"/>
    <col min="7401" max="7401" width="10.28515625" bestFit="1" customWidth="1"/>
    <col min="7402" max="7403" width="9.28515625" bestFit="1" customWidth="1"/>
    <col min="7405" max="7405" width="10.28515625" bestFit="1" customWidth="1"/>
    <col min="7406" max="7407" width="9.28515625" bestFit="1" customWidth="1"/>
    <col min="7409" max="7409" width="10.28515625" bestFit="1" customWidth="1"/>
    <col min="7410" max="7411" width="9.28515625" bestFit="1" customWidth="1"/>
    <col min="7413" max="7413" width="10.28515625" bestFit="1" customWidth="1"/>
    <col min="7414" max="7415" width="9.28515625" bestFit="1" customWidth="1"/>
    <col min="7417" max="7417" width="10.28515625" bestFit="1" customWidth="1"/>
    <col min="7418" max="7419" width="9.28515625" bestFit="1" customWidth="1"/>
    <col min="7421" max="7421" width="10.28515625" bestFit="1" customWidth="1"/>
    <col min="7422" max="7423" width="9.28515625" bestFit="1" customWidth="1"/>
    <col min="7425" max="7425" width="10.28515625" bestFit="1" customWidth="1"/>
    <col min="7426" max="7427" width="9.28515625" bestFit="1" customWidth="1"/>
    <col min="7429" max="7429" width="10.28515625" bestFit="1" customWidth="1"/>
    <col min="7430" max="7431" width="9.28515625" bestFit="1" customWidth="1"/>
    <col min="7433" max="7433" width="10.28515625" bestFit="1" customWidth="1"/>
    <col min="7434" max="7435" width="9.28515625" bestFit="1" customWidth="1"/>
    <col min="7437" max="7437" width="10.28515625" bestFit="1" customWidth="1"/>
    <col min="7438" max="7439" width="9.28515625" bestFit="1" customWidth="1"/>
    <col min="7441" max="7441" width="10.28515625" bestFit="1" customWidth="1"/>
    <col min="7442" max="7443" width="9.28515625" bestFit="1" customWidth="1"/>
    <col min="7445" max="7445" width="10.28515625" bestFit="1" customWidth="1"/>
    <col min="7446" max="7447" width="9.28515625" bestFit="1" customWidth="1"/>
    <col min="7449" max="7449" width="10.28515625" bestFit="1" customWidth="1"/>
    <col min="7450" max="7451" width="9.28515625" bestFit="1" customWidth="1"/>
    <col min="7453" max="7453" width="10.28515625" bestFit="1" customWidth="1"/>
    <col min="7454" max="7455" width="9.28515625" bestFit="1" customWidth="1"/>
    <col min="7457" max="7457" width="10.28515625" bestFit="1" customWidth="1"/>
    <col min="7458" max="7459" width="9.28515625" bestFit="1" customWidth="1"/>
    <col min="7461" max="7461" width="10.28515625" bestFit="1" customWidth="1"/>
    <col min="7462" max="7463" width="9.28515625" bestFit="1" customWidth="1"/>
    <col min="7465" max="7465" width="10.28515625" bestFit="1" customWidth="1"/>
    <col min="7466" max="7467" width="9.28515625" bestFit="1" customWidth="1"/>
    <col min="7469" max="7469" width="10.28515625" bestFit="1" customWidth="1"/>
    <col min="7470" max="7471" width="9.28515625" bestFit="1" customWidth="1"/>
    <col min="7473" max="7473" width="10.28515625" bestFit="1" customWidth="1"/>
    <col min="7474" max="7475" width="9.28515625" bestFit="1" customWidth="1"/>
    <col min="7477" max="7477" width="10.28515625" bestFit="1" customWidth="1"/>
    <col min="7478" max="7479" width="9.28515625" bestFit="1" customWidth="1"/>
    <col min="7481" max="7481" width="10.28515625" bestFit="1" customWidth="1"/>
    <col min="7482" max="7483" width="9.28515625" bestFit="1" customWidth="1"/>
    <col min="7485" max="7485" width="10.28515625" bestFit="1" customWidth="1"/>
    <col min="7486" max="7487" width="9.28515625" bestFit="1" customWidth="1"/>
    <col min="7489" max="7489" width="10.28515625" bestFit="1" customWidth="1"/>
    <col min="7490" max="7491" width="9.28515625" bestFit="1" customWidth="1"/>
    <col min="7493" max="7493" width="10.28515625" bestFit="1" customWidth="1"/>
    <col min="7494" max="7495" width="9.28515625" bestFit="1" customWidth="1"/>
    <col min="7497" max="7497" width="10.28515625" bestFit="1" customWidth="1"/>
    <col min="7498" max="7499" width="9.28515625" bestFit="1" customWidth="1"/>
    <col min="7501" max="7501" width="10.28515625" bestFit="1" customWidth="1"/>
    <col min="7502" max="7503" width="9.28515625" bestFit="1" customWidth="1"/>
    <col min="7505" max="7505" width="10.28515625" bestFit="1" customWidth="1"/>
    <col min="7506" max="7507" width="9.28515625" bestFit="1" customWidth="1"/>
    <col min="7509" max="7509" width="10.28515625" bestFit="1" customWidth="1"/>
    <col min="7510" max="7511" width="9.28515625" bestFit="1" customWidth="1"/>
    <col min="7513" max="7513" width="10.28515625" bestFit="1" customWidth="1"/>
    <col min="7514" max="7515" width="9.28515625" bestFit="1" customWidth="1"/>
    <col min="7517" max="7517" width="10.28515625" bestFit="1" customWidth="1"/>
    <col min="7518" max="7519" width="9.28515625" bestFit="1" customWidth="1"/>
    <col min="7521" max="7521" width="10.28515625" bestFit="1" customWidth="1"/>
    <col min="7522" max="7523" width="9.28515625" bestFit="1" customWidth="1"/>
    <col min="7525" max="7525" width="10.28515625" bestFit="1" customWidth="1"/>
    <col min="7526" max="7527" width="9.28515625" bestFit="1" customWidth="1"/>
    <col min="7529" max="7529" width="10.28515625" bestFit="1" customWidth="1"/>
    <col min="7530" max="7531" width="9.28515625" bestFit="1" customWidth="1"/>
    <col min="7533" max="7533" width="10.28515625" bestFit="1" customWidth="1"/>
    <col min="7534" max="7535" width="9.28515625" bestFit="1" customWidth="1"/>
    <col min="7537" max="7537" width="10.28515625" bestFit="1" customWidth="1"/>
    <col min="7538" max="7539" width="9.28515625" bestFit="1" customWidth="1"/>
    <col min="7541" max="7541" width="10.28515625" bestFit="1" customWidth="1"/>
    <col min="7542" max="7543" width="9.28515625" bestFit="1" customWidth="1"/>
    <col min="7545" max="7545" width="10.28515625" bestFit="1" customWidth="1"/>
    <col min="7546" max="7547" width="9.28515625" bestFit="1" customWidth="1"/>
    <col min="7549" max="7549" width="10.28515625" bestFit="1" customWidth="1"/>
    <col min="7550" max="7551" width="9.28515625" bestFit="1" customWidth="1"/>
    <col min="7553" max="7553" width="10.28515625" bestFit="1" customWidth="1"/>
    <col min="7554" max="7555" width="9.28515625" bestFit="1" customWidth="1"/>
    <col min="7557" max="7557" width="10.28515625" bestFit="1" customWidth="1"/>
    <col min="7558" max="7559" width="9.28515625" bestFit="1" customWidth="1"/>
    <col min="7561" max="7561" width="10.28515625" bestFit="1" customWidth="1"/>
    <col min="7562" max="7563" width="9.28515625" bestFit="1" customWidth="1"/>
    <col min="7565" max="7565" width="10.28515625" bestFit="1" customWidth="1"/>
    <col min="7566" max="7567" width="9.28515625" bestFit="1" customWidth="1"/>
    <col min="7569" max="7569" width="10.28515625" bestFit="1" customWidth="1"/>
    <col min="7570" max="7571" width="9.28515625" bestFit="1" customWidth="1"/>
    <col min="7573" max="7573" width="10.28515625" bestFit="1" customWidth="1"/>
    <col min="7574" max="7575" width="9.28515625" bestFit="1" customWidth="1"/>
    <col min="7577" max="7577" width="10.28515625" bestFit="1" customWidth="1"/>
    <col min="7578" max="7579" width="9.28515625" bestFit="1" customWidth="1"/>
    <col min="7581" max="7581" width="10.28515625" bestFit="1" customWidth="1"/>
    <col min="7582" max="7583" width="9.28515625" bestFit="1" customWidth="1"/>
    <col min="7585" max="7585" width="10.28515625" bestFit="1" customWidth="1"/>
    <col min="7586" max="7587" width="9.28515625" bestFit="1" customWidth="1"/>
    <col min="7589" max="7589" width="10.28515625" bestFit="1" customWidth="1"/>
    <col min="7590" max="7591" width="9.28515625" bestFit="1" customWidth="1"/>
    <col min="7593" max="7593" width="10.28515625" bestFit="1" customWidth="1"/>
    <col min="7594" max="7595" width="9.28515625" bestFit="1" customWidth="1"/>
    <col min="7597" max="7597" width="10.28515625" bestFit="1" customWidth="1"/>
    <col min="7598" max="7599" width="9.28515625" bestFit="1" customWidth="1"/>
    <col min="7601" max="7601" width="10.28515625" bestFit="1" customWidth="1"/>
    <col min="7602" max="7603" width="9.28515625" bestFit="1" customWidth="1"/>
    <col min="7605" max="7605" width="10.28515625" bestFit="1" customWidth="1"/>
    <col min="7606" max="7607" width="9.28515625" bestFit="1" customWidth="1"/>
    <col min="7609" max="7609" width="10.28515625" bestFit="1" customWidth="1"/>
    <col min="7610" max="7611" width="9.28515625" bestFit="1" customWidth="1"/>
    <col min="7613" max="7613" width="10.28515625" bestFit="1" customWidth="1"/>
    <col min="7614" max="7615" width="9.28515625" bestFit="1" customWidth="1"/>
    <col min="7617" max="7617" width="10.28515625" bestFit="1" customWidth="1"/>
    <col min="7618" max="7619" width="9.28515625" bestFit="1" customWidth="1"/>
    <col min="7621" max="7621" width="10.28515625" bestFit="1" customWidth="1"/>
    <col min="7622" max="7623" width="9.28515625" bestFit="1" customWidth="1"/>
    <col min="7625" max="7625" width="10.28515625" bestFit="1" customWidth="1"/>
    <col min="7626" max="7627" width="9.28515625" bestFit="1" customWidth="1"/>
    <col min="7629" max="7629" width="10.28515625" bestFit="1" customWidth="1"/>
    <col min="7630" max="7631" width="9.28515625" bestFit="1" customWidth="1"/>
    <col min="7633" max="7633" width="10.28515625" bestFit="1" customWidth="1"/>
    <col min="7634" max="7635" width="9.28515625" bestFit="1" customWidth="1"/>
    <col min="7637" max="7637" width="10.28515625" bestFit="1" customWidth="1"/>
    <col min="7638" max="7639" width="9.28515625" bestFit="1" customWidth="1"/>
    <col min="7641" max="7641" width="10.28515625" bestFit="1" customWidth="1"/>
    <col min="7642" max="7643" width="9.28515625" bestFit="1" customWidth="1"/>
    <col min="7645" max="7645" width="10.28515625" bestFit="1" customWidth="1"/>
    <col min="7646" max="7647" width="9.28515625" bestFit="1" customWidth="1"/>
    <col min="7649" max="7649" width="10.28515625" bestFit="1" customWidth="1"/>
    <col min="7650" max="7651" width="9.28515625" bestFit="1" customWidth="1"/>
    <col min="7653" max="7653" width="10.28515625" bestFit="1" customWidth="1"/>
    <col min="7654" max="7655" width="9.28515625" bestFit="1" customWidth="1"/>
    <col min="7657" max="7657" width="10.28515625" bestFit="1" customWidth="1"/>
    <col min="7658" max="7659" width="9.28515625" bestFit="1" customWidth="1"/>
    <col min="7661" max="7661" width="10.28515625" bestFit="1" customWidth="1"/>
    <col min="7662" max="7663" width="9.28515625" bestFit="1" customWidth="1"/>
    <col min="7665" max="7665" width="10.28515625" bestFit="1" customWidth="1"/>
    <col min="7666" max="7667" width="9.28515625" bestFit="1" customWidth="1"/>
    <col min="7669" max="7669" width="10.28515625" bestFit="1" customWidth="1"/>
    <col min="7670" max="7671" width="9.28515625" bestFit="1" customWidth="1"/>
    <col min="7673" max="7673" width="10.28515625" bestFit="1" customWidth="1"/>
    <col min="7674" max="7675" width="9.28515625" bestFit="1" customWidth="1"/>
    <col min="7677" max="7677" width="10.28515625" bestFit="1" customWidth="1"/>
    <col min="7678" max="7679" width="9.28515625" bestFit="1" customWidth="1"/>
    <col min="7681" max="7681" width="10.28515625" bestFit="1" customWidth="1"/>
    <col min="7682" max="7683" width="9.28515625" bestFit="1" customWidth="1"/>
    <col min="7685" max="7685" width="10.28515625" bestFit="1" customWidth="1"/>
    <col min="7686" max="7687" width="9.28515625" bestFit="1" customWidth="1"/>
    <col min="7689" max="7689" width="10.28515625" bestFit="1" customWidth="1"/>
    <col min="7690" max="7691" width="9.28515625" bestFit="1" customWidth="1"/>
    <col min="7693" max="7693" width="10.28515625" bestFit="1" customWidth="1"/>
    <col min="7694" max="7695" width="9.28515625" bestFit="1" customWidth="1"/>
    <col min="7697" max="7697" width="10.28515625" bestFit="1" customWidth="1"/>
    <col min="7698" max="7699" width="9.28515625" bestFit="1" customWidth="1"/>
    <col min="7701" max="7701" width="10.28515625" bestFit="1" customWidth="1"/>
    <col min="7702" max="7703" width="9.28515625" bestFit="1" customWidth="1"/>
    <col min="7705" max="7705" width="10.28515625" bestFit="1" customWidth="1"/>
    <col min="7706" max="7707" width="9.28515625" bestFit="1" customWidth="1"/>
    <col min="7709" max="7709" width="10.28515625" bestFit="1" customWidth="1"/>
    <col min="7710" max="7711" width="9.28515625" bestFit="1" customWidth="1"/>
    <col min="7713" max="7713" width="10.28515625" bestFit="1" customWidth="1"/>
    <col min="7714" max="7715" width="9.28515625" bestFit="1" customWidth="1"/>
    <col min="7717" max="7717" width="10.28515625" bestFit="1" customWidth="1"/>
    <col min="7718" max="7719" width="9.28515625" bestFit="1" customWidth="1"/>
    <col min="7721" max="7721" width="10.28515625" bestFit="1" customWidth="1"/>
    <col min="7722" max="7723" width="9.28515625" bestFit="1" customWidth="1"/>
    <col min="7725" max="7725" width="10.28515625" bestFit="1" customWidth="1"/>
    <col min="7726" max="7727" width="9.28515625" bestFit="1" customWidth="1"/>
    <col min="7729" max="7729" width="10.28515625" bestFit="1" customWidth="1"/>
    <col min="7730" max="7731" width="9.28515625" bestFit="1" customWidth="1"/>
    <col min="7733" max="7733" width="10.28515625" bestFit="1" customWidth="1"/>
    <col min="7734" max="7735" width="9.28515625" bestFit="1" customWidth="1"/>
    <col min="7737" max="7737" width="10.28515625" bestFit="1" customWidth="1"/>
    <col min="7738" max="7739" width="9.28515625" bestFit="1" customWidth="1"/>
    <col min="7741" max="7741" width="10.28515625" bestFit="1" customWidth="1"/>
    <col min="7742" max="7743" width="9.28515625" bestFit="1" customWidth="1"/>
    <col min="7745" max="7745" width="10.28515625" bestFit="1" customWidth="1"/>
    <col min="7746" max="7747" width="9.28515625" bestFit="1" customWidth="1"/>
    <col min="7749" max="7749" width="10.28515625" bestFit="1" customWidth="1"/>
    <col min="7750" max="7751" width="9.28515625" bestFit="1" customWidth="1"/>
    <col min="7753" max="7753" width="10.28515625" bestFit="1" customWidth="1"/>
    <col min="7754" max="7755" width="9.28515625" bestFit="1" customWidth="1"/>
    <col min="7757" max="7757" width="10.28515625" bestFit="1" customWidth="1"/>
    <col min="7758" max="7759" width="9.28515625" bestFit="1" customWidth="1"/>
    <col min="7761" max="7761" width="10.28515625" bestFit="1" customWidth="1"/>
    <col min="7762" max="7763" width="9.28515625" bestFit="1" customWidth="1"/>
    <col min="7765" max="7765" width="10.28515625" bestFit="1" customWidth="1"/>
    <col min="7766" max="7767" width="9.28515625" bestFit="1" customWidth="1"/>
    <col min="7769" max="7769" width="10.28515625" bestFit="1" customWidth="1"/>
    <col min="7770" max="7771" width="9.28515625" bestFit="1" customWidth="1"/>
    <col min="7773" max="7773" width="10.28515625" bestFit="1" customWidth="1"/>
    <col min="7774" max="7775" width="9.28515625" bestFit="1" customWidth="1"/>
    <col min="7777" max="7777" width="10.28515625" bestFit="1" customWidth="1"/>
    <col min="7778" max="7779" width="9.28515625" bestFit="1" customWidth="1"/>
    <col min="7781" max="7781" width="10.28515625" bestFit="1" customWidth="1"/>
    <col min="7782" max="7783" width="9.28515625" bestFit="1" customWidth="1"/>
    <col min="7785" max="7785" width="10.28515625" bestFit="1" customWidth="1"/>
    <col min="7786" max="7787" width="9.28515625" bestFit="1" customWidth="1"/>
    <col min="7789" max="7789" width="10.28515625" bestFit="1" customWidth="1"/>
    <col min="7790" max="7791" width="9.28515625" bestFit="1" customWidth="1"/>
    <col min="7793" max="7793" width="10.28515625" bestFit="1" customWidth="1"/>
    <col min="7794" max="7795" width="9.28515625" bestFit="1" customWidth="1"/>
    <col min="7797" max="7797" width="10.28515625" bestFit="1" customWidth="1"/>
    <col min="7798" max="7799" width="9.28515625" bestFit="1" customWidth="1"/>
    <col min="7801" max="7801" width="10.28515625" bestFit="1" customWidth="1"/>
    <col min="7802" max="7803" width="9.28515625" bestFit="1" customWidth="1"/>
    <col min="7805" max="7805" width="10.28515625" bestFit="1" customWidth="1"/>
    <col min="7806" max="7807" width="9.28515625" bestFit="1" customWidth="1"/>
    <col min="7809" max="7809" width="10.28515625" bestFit="1" customWidth="1"/>
    <col min="7810" max="7811" width="9.28515625" bestFit="1" customWidth="1"/>
    <col min="7813" max="7813" width="10.28515625" bestFit="1" customWidth="1"/>
    <col min="7814" max="7815" width="9.28515625" bestFit="1" customWidth="1"/>
    <col min="7817" max="7817" width="10.28515625" bestFit="1" customWidth="1"/>
    <col min="7818" max="7819" width="9.28515625" bestFit="1" customWidth="1"/>
    <col min="7821" max="7821" width="10.28515625" bestFit="1" customWidth="1"/>
    <col min="7822" max="7823" width="9.28515625" bestFit="1" customWidth="1"/>
    <col min="7825" max="7825" width="10.28515625" bestFit="1" customWidth="1"/>
    <col min="7826" max="7827" width="9.28515625" bestFit="1" customWidth="1"/>
    <col min="7829" max="7829" width="10.28515625" bestFit="1" customWidth="1"/>
    <col min="7830" max="7831" width="9.28515625" bestFit="1" customWidth="1"/>
    <col min="7833" max="7833" width="10.28515625" bestFit="1" customWidth="1"/>
    <col min="7834" max="7835" width="9.28515625" bestFit="1" customWidth="1"/>
    <col min="7837" max="7837" width="10.28515625" bestFit="1" customWidth="1"/>
    <col min="7838" max="7839" width="9.28515625" bestFit="1" customWidth="1"/>
    <col min="7841" max="7841" width="10.28515625" bestFit="1" customWidth="1"/>
    <col min="7842" max="7843" width="9.28515625" bestFit="1" customWidth="1"/>
    <col min="7845" max="7845" width="10.28515625" bestFit="1" customWidth="1"/>
    <col min="7846" max="7847" width="9.28515625" bestFit="1" customWidth="1"/>
    <col min="7849" max="7849" width="10.28515625" bestFit="1" customWidth="1"/>
    <col min="7850" max="7851" width="9.28515625" bestFit="1" customWidth="1"/>
    <col min="7853" max="7853" width="10.28515625" bestFit="1" customWidth="1"/>
    <col min="7854" max="7855" width="9.28515625" bestFit="1" customWidth="1"/>
    <col min="7857" max="7857" width="10.28515625" bestFit="1" customWidth="1"/>
    <col min="7858" max="7859" width="9.28515625" bestFit="1" customWidth="1"/>
    <col min="7861" max="7861" width="10.28515625" bestFit="1" customWidth="1"/>
    <col min="7862" max="7863" width="9.28515625" bestFit="1" customWidth="1"/>
    <col min="7865" max="7865" width="10.28515625" bestFit="1" customWidth="1"/>
    <col min="7866" max="7867" width="9.28515625" bestFit="1" customWidth="1"/>
    <col min="7869" max="7869" width="10.28515625" bestFit="1" customWidth="1"/>
    <col min="7870" max="7871" width="9.28515625" bestFit="1" customWidth="1"/>
    <col min="7873" max="7873" width="10.28515625" bestFit="1" customWidth="1"/>
    <col min="7874" max="7875" width="9.28515625" bestFit="1" customWidth="1"/>
    <col min="7877" max="7877" width="10.28515625" bestFit="1" customWidth="1"/>
    <col min="7878" max="7879" width="9.28515625" bestFit="1" customWidth="1"/>
    <col min="7881" max="7881" width="10.28515625" bestFit="1" customWidth="1"/>
    <col min="7882" max="7883" width="9.28515625" bestFit="1" customWidth="1"/>
    <col min="7885" max="7885" width="10.28515625" bestFit="1" customWidth="1"/>
    <col min="7886" max="7887" width="9.28515625" bestFit="1" customWidth="1"/>
    <col min="7889" max="7889" width="10.28515625" bestFit="1" customWidth="1"/>
    <col min="7890" max="7891" width="9.28515625" bestFit="1" customWidth="1"/>
    <col min="7893" max="7893" width="10.28515625" bestFit="1" customWidth="1"/>
    <col min="7894" max="7895" width="9.28515625" bestFit="1" customWidth="1"/>
    <col min="7897" max="7897" width="10.28515625" bestFit="1" customWidth="1"/>
    <col min="7898" max="7899" width="9.28515625" bestFit="1" customWidth="1"/>
    <col min="7901" max="7901" width="10.28515625" bestFit="1" customWidth="1"/>
    <col min="7902" max="7903" width="9.28515625" bestFit="1" customWidth="1"/>
    <col min="7905" max="7905" width="10.28515625" bestFit="1" customWidth="1"/>
    <col min="7906" max="7907" width="9.28515625" bestFit="1" customWidth="1"/>
    <col min="7909" max="7909" width="10.28515625" bestFit="1" customWidth="1"/>
    <col min="7910" max="7911" width="9.28515625" bestFit="1" customWidth="1"/>
    <col min="7913" max="7913" width="10.28515625" bestFit="1" customWidth="1"/>
    <col min="7914" max="7915" width="9.28515625" bestFit="1" customWidth="1"/>
    <col min="7917" max="7917" width="10.28515625" bestFit="1" customWidth="1"/>
    <col min="7918" max="7919" width="9.28515625" bestFit="1" customWidth="1"/>
    <col min="7921" max="7921" width="10.28515625" bestFit="1" customWidth="1"/>
    <col min="7922" max="7923" width="9.28515625" bestFit="1" customWidth="1"/>
    <col min="7925" max="7925" width="10.28515625" bestFit="1" customWidth="1"/>
    <col min="7926" max="7927" width="9.28515625" bestFit="1" customWidth="1"/>
    <col min="7929" max="7929" width="10.28515625" bestFit="1" customWidth="1"/>
    <col min="7930" max="7931" width="9.28515625" bestFit="1" customWidth="1"/>
    <col min="7933" max="7933" width="10.28515625" bestFit="1" customWidth="1"/>
    <col min="7934" max="7935" width="9.28515625" bestFit="1" customWidth="1"/>
    <col min="7937" max="7937" width="10.28515625" bestFit="1" customWidth="1"/>
    <col min="7938" max="7939" width="9.28515625" bestFit="1" customWidth="1"/>
    <col min="7941" max="7941" width="10.28515625" bestFit="1" customWidth="1"/>
    <col min="7942" max="7943" width="9.28515625" bestFit="1" customWidth="1"/>
    <col min="7945" max="7945" width="10.28515625" bestFit="1" customWidth="1"/>
    <col min="7946" max="7947" width="9.28515625" bestFit="1" customWidth="1"/>
    <col min="7949" max="7949" width="10.28515625" bestFit="1" customWidth="1"/>
    <col min="7950" max="7951" width="9.28515625" bestFit="1" customWidth="1"/>
    <col min="7953" max="7953" width="10.28515625" bestFit="1" customWidth="1"/>
    <col min="7954" max="7955" width="9.28515625" bestFit="1" customWidth="1"/>
    <col min="7957" max="7957" width="10.28515625" bestFit="1" customWidth="1"/>
    <col min="7958" max="7959" width="9.28515625" bestFit="1" customWidth="1"/>
    <col min="7961" max="7961" width="10.28515625" bestFit="1" customWidth="1"/>
    <col min="7962" max="7963" width="9.28515625" bestFit="1" customWidth="1"/>
    <col min="7965" max="7965" width="10.28515625" bestFit="1" customWidth="1"/>
    <col min="7966" max="7967" width="9.28515625" bestFit="1" customWidth="1"/>
    <col min="7969" max="7969" width="10.28515625" bestFit="1" customWidth="1"/>
    <col min="7970" max="7971" width="9.28515625" bestFit="1" customWidth="1"/>
    <col min="7973" max="7973" width="10.28515625" bestFit="1" customWidth="1"/>
    <col min="7974" max="7975" width="9.28515625" bestFit="1" customWidth="1"/>
    <col min="7977" max="7977" width="10.28515625" bestFit="1" customWidth="1"/>
    <col min="7978" max="7979" width="9.28515625" bestFit="1" customWidth="1"/>
    <col min="7981" max="7981" width="10.28515625" bestFit="1" customWidth="1"/>
    <col min="7982" max="7983" width="9.28515625" bestFit="1" customWidth="1"/>
    <col min="7985" max="7985" width="10.28515625" bestFit="1" customWidth="1"/>
    <col min="7986" max="7987" width="9.28515625" bestFit="1" customWidth="1"/>
    <col min="7989" max="7989" width="10.28515625" bestFit="1" customWidth="1"/>
    <col min="7990" max="7991" width="9.28515625" bestFit="1" customWidth="1"/>
    <col min="7993" max="7993" width="10.28515625" bestFit="1" customWidth="1"/>
    <col min="7994" max="7995" width="9.28515625" bestFit="1" customWidth="1"/>
    <col min="7997" max="7997" width="10.28515625" bestFit="1" customWidth="1"/>
    <col min="7998" max="7999" width="9.28515625" bestFit="1" customWidth="1"/>
    <col min="8001" max="8001" width="10.28515625" bestFit="1" customWidth="1"/>
    <col min="8002" max="8003" width="9.28515625" bestFit="1" customWidth="1"/>
    <col min="8005" max="8005" width="10.28515625" bestFit="1" customWidth="1"/>
    <col min="8006" max="8007" width="9.28515625" bestFit="1" customWidth="1"/>
    <col min="8009" max="8009" width="10.28515625" bestFit="1" customWidth="1"/>
    <col min="8010" max="8011" width="9.28515625" bestFit="1" customWidth="1"/>
    <col min="8013" max="8013" width="10.28515625" bestFit="1" customWidth="1"/>
    <col min="8014" max="8015" width="9.28515625" bestFit="1" customWidth="1"/>
    <col min="8017" max="8017" width="10.28515625" bestFit="1" customWidth="1"/>
    <col min="8018" max="8019" width="9.28515625" bestFit="1" customWidth="1"/>
    <col min="8021" max="8021" width="10.28515625" bestFit="1" customWidth="1"/>
    <col min="8022" max="8023" width="9.28515625" bestFit="1" customWidth="1"/>
    <col min="8025" max="8025" width="10.28515625" bestFit="1" customWidth="1"/>
    <col min="8026" max="8027" width="9.28515625" bestFit="1" customWidth="1"/>
    <col min="8029" max="8029" width="10.28515625" bestFit="1" customWidth="1"/>
    <col min="8030" max="8031" width="9.28515625" bestFit="1" customWidth="1"/>
    <col min="8033" max="8033" width="10.28515625" bestFit="1" customWidth="1"/>
    <col min="8034" max="8035" width="9.28515625" bestFit="1" customWidth="1"/>
    <col min="8037" max="8037" width="10.28515625" bestFit="1" customWidth="1"/>
    <col min="8038" max="8039" width="9.28515625" bestFit="1" customWidth="1"/>
    <col min="8041" max="8041" width="10.28515625" bestFit="1" customWidth="1"/>
    <col min="8042" max="8043" width="9.28515625" bestFit="1" customWidth="1"/>
    <col min="8045" max="8045" width="10.28515625" bestFit="1" customWidth="1"/>
    <col min="8046" max="8047" width="9.28515625" bestFit="1" customWidth="1"/>
    <col min="8049" max="8049" width="10.28515625" bestFit="1" customWidth="1"/>
    <col min="8050" max="8051" width="9.28515625" bestFit="1" customWidth="1"/>
    <col min="8053" max="8053" width="10.28515625" bestFit="1" customWidth="1"/>
    <col min="8054" max="8055" width="9.28515625" bestFit="1" customWidth="1"/>
    <col min="8057" max="8057" width="10.28515625" bestFit="1" customWidth="1"/>
    <col min="8058" max="8059" width="9.28515625" bestFit="1" customWidth="1"/>
    <col min="8061" max="8061" width="10.28515625" bestFit="1" customWidth="1"/>
    <col min="8062" max="8063" width="9.28515625" bestFit="1" customWidth="1"/>
    <col min="8065" max="8065" width="10.28515625" bestFit="1" customWidth="1"/>
    <col min="8066" max="8067" width="9.28515625" bestFit="1" customWidth="1"/>
    <col min="8069" max="8069" width="10.28515625" bestFit="1" customWidth="1"/>
    <col min="8070" max="8071" width="9.28515625" bestFit="1" customWidth="1"/>
    <col min="8073" max="8073" width="10.28515625" bestFit="1" customWidth="1"/>
    <col min="8074" max="8075" width="9.28515625" bestFit="1" customWidth="1"/>
    <col min="8077" max="8077" width="10.28515625" bestFit="1" customWidth="1"/>
    <col min="8078" max="8079" width="9.28515625" bestFit="1" customWidth="1"/>
    <col min="8081" max="8081" width="10.28515625" bestFit="1" customWidth="1"/>
    <col min="8082" max="8083" width="9.28515625" bestFit="1" customWidth="1"/>
    <col min="8085" max="8085" width="10.28515625" bestFit="1" customWidth="1"/>
    <col min="8086" max="8087" width="9.28515625" bestFit="1" customWidth="1"/>
    <col min="8089" max="8089" width="10.28515625" bestFit="1" customWidth="1"/>
    <col min="8090" max="8091" width="9.28515625" bestFit="1" customWidth="1"/>
    <col min="8093" max="8093" width="10.28515625" bestFit="1" customWidth="1"/>
    <col min="8094" max="8095" width="9.28515625" bestFit="1" customWidth="1"/>
    <col min="8097" max="8097" width="10.28515625" bestFit="1" customWidth="1"/>
    <col min="8098" max="8099" width="9.28515625" bestFit="1" customWidth="1"/>
    <col min="8101" max="8101" width="10.28515625" bestFit="1" customWidth="1"/>
    <col min="8102" max="8103" width="9.28515625" bestFit="1" customWidth="1"/>
    <col min="8105" max="8105" width="10.28515625" bestFit="1" customWidth="1"/>
    <col min="8106" max="8107" width="9.28515625" bestFit="1" customWidth="1"/>
    <col min="8109" max="8109" width="10.28515625" bestFit="1" customWidth="1"/>
    <col min="8110" max="8111" width="9.28515625" bestFit="1" customWidth="1"/>
    <col min="8113" max="8113" width="10.28515625" bestFit="1" customWidth="1"/>
    <col min="8114" max="8115" width="9.28515625" bestFit="1" customWidth="1"/>
    <col min="8117" max="8117" width="10.28515625" bestFit="1" customWidth="1"/>
    <col min="8118" max="8119" width="9.28515625" bestFit="1" customWidth="1"/>
    <col min="8121" max="8121" width="10.28515625" bestFit="1" customWidth="1"/>
    <col min="8122" max="8123" width="9.28515625" bestFit="1" customWidth="1"/>
    <col min="8125" max="8125" width="10.28515625" bestFit="1" customWidth="1"/>
    <col min="8126" max="8127" width="9.28515625" bestFit="1" customWidth="1"/>
    <col min="8129" max="8129" width="10.28515625" bestFit="1" customWidth="1"/>
    <col min="8130" max="8131" width="9.28515625" bestFit="1" customWidth="1"/>
    <col min="8133" max="8133" width="10.28515625" bestFit="1" customWidth="1"/>
    <col min="8134" max="8135" width="9.28515625" bestFit="1" customWidth="1"/>
    <col min="8137" max="8137" width="10.28515625" bestFit="1" customWidth="1"/>
    <col min="8138" max="8139" width="9.28515625" bestFit="1" customWidth="1"/>
    <col min="8141" max="8141" width="10.28515625" bestFit="1" customWidth="1"/>
    <col min="8142" max="8143" width="9.28515625" bestFit="1" customWidth="1"/>
    <col min="8145" max="8145" width="10.28515625" bestFit="1" customWidth="1"/>
    <col min="8146" max="8147" width="9.28515625" bestFit="1" customWidth="1"/>
    <col min="8149" max="8149" width="10.28515625" bestFit="1" customWidth="1"/>
    <col min="8150" max="8151" width="9.28515625" bestFit="1" customWidth="1"/>
    <col min="8153" max="8153" width="10.28515625" bestFit="1" customWidth="1"/>
    <col min="8154" max="8155" width="9.28515625" bestFit="1" customWidth="1"/>
    <col min="8157" max="8157" width="10.28515625" bestFit="1" customWidth="1"/>
    <col min="8158" max="8159" width="9.28515625" bestFit="1" customWidth="1"/>
    <col min="8161" max="8161" width="10.28515625" bestFit="1" customWidth="1"/>
    <col min="8162" max="8163" width="9.28515625" bestFit="1" customWidth="1"/>
    <col min="8165" max="8165" width="10.28515625" bestFit="1" customWidth="1"/>
    <col min="8166" max="8167" width="9.28515625" bestFit="1" customWidth="1"/>
    <col min="8169" max="8169" width="10.28515625" bestFit="1" customWidth="1"/>
    <col min="8170" max="8171" width="9.28515625" bestFit="1" customWidth="1"/>
    <col min="8173" max="8173" width="10.28515625" bestFit="1" customWidth="1"/>
    <col min="8174" max="8175" width="9.28515625" bestFit="1" customWidth="1"/>
    <col min="8177" max="8177" width="10.28515625" bestFit="1" customWidth="1"/>
    <col min="8178" max="8179" width="9.28515625" bestFit="1" customWidth="1"/>
    <col min="8181" max="8181" width="10.28515625" bestFit="1" customWidth="1"/>
    <col min="8182" max="8183" width="9.28515625" bestFit="1" customWidth="1"/>
    <col min="8185" max="8185" width="10.28515625" bestFit="1" customWidth="1"/>
    <col min="8186" max="8187" width="9.28515625" bestFit="1" customWidth="1"/>
    <col min="8189" max="8189" width="10.28515625" bestFit="1" customWidth="1"/>
    <col min="8190" max="8191" width="9.28515625" bestFit="1" customWidth="1"/>
    <col min="8193" max="8193" width="10.28515625" bestFit="1" customWidth="1"/>
    <col min="8194" max="8195" width="9.28515625" bestFit="1" customWidth="1"/>
    <col min="8197" max="8197" width="10.28515625" bestFit="1" customWidth="1"/>
    <col min="8198" max="8199" width="9.28515625" bestFit="1" customWidth="1"/>
    <col min="8201" max="8201" width="10.28515625" bestFit="1" customWidth="1"/>
    <col min="8202" max="8203" width="9.28515625" bestFit="1" customWidth="1"/>
    <col min="8205" max="8205" width="10.28515625" bestFit="1" customWidth="1"/>
    <col min="8206" max="8207" width="9.28515625" bestFit="1" customWidth="1"/>
    <col min="8209" max="8209" width="10.28515625" bestFit="1" customWidth="1"/>
    <col min="8210" max="8211" width="9.28515625" bestFit="1" customWidth="1"/>
    <col min="8213" max="8213" width="10.28515625" bestFit="1" customWidth="1"/>
    <col min="8214" max="8215" width="9.28515625" bestFit="1" customWidth="1"/>
    <col min="8217" max="8217" width="10.28515625" bestFit="1" customWidth="1"/>
    <col min="8218" max="8219" width="9.28515625" bestFit="1" customWidth="1"/>
    <col min="8221" max="8221" width="10.28515625" bestFit="1" customWidth="1"/>
    <col min="8222" max="8223" width="9.28515625" bestFit="1" customWidth="1"/>
    <col min="8225" max="8225" width="10.28515625" bestFit="1" customWidth="1"/>
    <col min="8226" max="8227" width="9.28515625" bestFit="1" customWidth="1"/>
    <col min="8229" max="8229" width="10.28515625" bestFit="1" customWidth="1"/>
    <col min="8230" max="8231" width="9.28515625" bestFit="1" customWidth="1"/>
    <col min="8233" max="8233" width="10.28515625" bestFit="1" customWidth="1"/>
    <col min="8234" max="8235" width="9.28515625" bestFit="1" customWidth="1"/>
    <col min="8237" max="8237" width="10.28515625" bestFit="1" customWidth="1"/>
    <col min="8238" max="8239" width="9.28515625" bestFit="1" customWidth="1"/>
    <col min="8241" max="8241" width="10.28515625" bestFit="1" customWidth="1"/>
    <col min="8242" max="8243" width="9.28515625" bestFit="1" customWidth="1"/>
    <col min="8245" max="8245" width="10.28515625" bestFit="1" customWidth="1"/>
    <col min="8246" max="8247" width="9.28515625" bestFit="1" customWidth="1"/>
    <col min="8249" max="8249" width="10.28515625" bestFit="1" customWidth="1"/>
    <col min="8250" max="8251" width="9.28515625" bestFit="1" customWidth="1"/>
    <col min="8253" max="8253" width="10.28515625" bestFit="1" customWidth="1"/>
    <col min="8254" max="8255" width="9.28515625" bestFit="1" customWidth="1"/>
    <col min="8257" max="8257" width="10.28515625" bestFit="1" customWidth="1"/>
    <col min="8258" max="8259" width="9.28515625" bestFit="1" customWidth="1"/>
    <col min="8261" max="8261" width="10.28515625" bestFit="1" customWidth="1"/>
    <col min="8262" max="8263" width="9.28515625" bestFit="1" customWidth="1"/>
    <col min="8265" max="8265" width="10.28515625" bestFit="1" customWidth="1"/>
    <col min="8266" max="8267" width="9.28515625" bestFit="1" customWidth="1"/>
    <col min="8269" max="8269" width="10.28515625" bestFit="1" customWidth="1"/>
    <col min="8270" max="8271" width="9.28515625" bestFit="1" customWidth="1"/>
    <col min="8273" max="8273" width="10.28515625" bestFit="1" customWidth="1"/>
    <col min="8274" max="8275" width="9.28515625" bestFit="1" customWidth="1"/>
    <col min="8277" max="8277" width="10.28515625" bestFit="1" customWidth="1"/>
    <col min="8278" max="8279" width="9.28515625" bestFit="1" customWidth="1"/>
    <col min="8281" max="8281" width="10.28515625" bestFit="1" customWidth="1"/>
    <col min="8282" max="8283" width="9.28515625" bestFit="1" customWidth="1"/>
    <col min="8285" max="8285" width="10.28515625" bestFit="1" customWidth="1"/>
    <col min="8286" max="8287" width="9.28515625" bestFit="1" customWidth="1"/>
    <col min="8289" max="8289" width="10.28515625" bestFit="1" customWidth="1"/>
    <col min="8290" max="8291" width="9.28515625" bestFit="1" customWidth="1"/>
    <col min="8293" max="8293" width="10.28515625" bestFit="1" customWidth="1"/>
    <col min="8294" max="8295" width="9.28515625" bestFit="1" customWidth="1"/>
    <col min="8297" max="8297" width="10.28515625" bestFit="1" customWidth="1"/>
    <col min="8298" max="8299" width="9.28515625" bestFit="1" customWidth="1"/>
    <col min="8301" max="8301" width="10.28515625" bestFit="1" customWidth="1"/>
    <col min="8302" max="8303" width="9.28515625" bestFit="1" customWidth="1"/>
    <col min="8305" max="8305" width="10.28515625" bestFit="1" customWidth="1"/>
    <col min="8306" max="8307" width="9.28515625" bestFit="1" customWidth="1"/>
    <col min="8309" max="8309" width="10.28515625" bestFit="1" customWidth="1"/>
    <col min="8310" max="8311" width="9.28515625" bestFit="1" customWidth="1"/>
    <col min="8313" max="8313" width="10.28515625" bestFit="1" customWidth="1"/>
    <col min="8314" max="8315" width="9.28515625" bestFit="1" customWidth="1"/>
    <col min="8317" max="8317" width="10.28515625" bestFit="1" customWidth="1"/>
    <col min="8318" max="8319" width="9.28515625" bestFit="1" customWidth="1"/>
    <col min="8321" max="8321" width="10.28515625" bestFit="1" customWidth="1"/>
    <col min="8322" max="8323" width="9.28515625" bestFit="1" customWidth="1"/>
    <col min="8325" max="8325" width="10.28515625" bestFit="1" customWidth="1"/>
    <col min="8326" max="8327" width="9.28515625" bestFit="1" customWidth="1"/>
    <col min="8329" max="8329" width="10.28515625" bestFit="1" customWidth="1"/>
    <col min="8330" max="8331" width="9.28515625" bestFit="1" customWidth="1"/>
    <col min="8333" max="8333" width="10.28515625" bestFit="1" customWidth="1"/>
    <col min="8334" max="8335" width="9.28515625" bestFit="1" customWidth="1"/>
    <col min="8337" max="8337" width="10.28515625" bestFit="1" customWidth="1"/>
    <col min="8338" max="8339" width="9.28515625" bestFit="1" customWidth="1"/>
    <col min="8341" max="8341" width="10.28515625" bestFit="1" customWidth="1"/>
    <col min="8342" max="8343" width="9.28515625" bestFit="1" customWidth="1"/>
    <col min="8345" max="8345" width="10.28515625" bestFit="1" customWidth="1"/>
    <col min="8346" max="8347" width="9.28515625" bestFit="1" customWidth="1"/>
    <col min="8349" max="8349" width="10.28515625" bestFit="1" customWidth="1"/>
    <col min="8350" max="8351" width="9.28515625" bestFit="1" customWidth="1"/>
    <col min="8353" max="8353" width="10.28515625" bestFit="1" customWidth="1"/>
    <col min="8354" max="8355" width="9.28515625" bestFit="1" customWidth="1"/>
    <col min="8357" max="8357" width="10.28515625" bestFit="1" customWidth="1"/>
    <col min="8358" max="8359" width="9.28515625" bestFit="1" customWidth="1"/>
    <col min="8361" max="8361" width="10.28515625" bestFit="1" customWidth="1"/>
    <col min="8362" max="8363" width="9.28515625" bestFit="1" customWidth="1"/>
    <col min="8365" max="8365" width="10.28515625" bestFit="1" customWidth="1"/>
    <col min="8366" max="8367" width="9.28515625" bestFit="1" customWidth="1"/>
    <col min="8369" max="8369" width="10.28515625" bestFit="1" customWidth="1"/>
    <col min="8370" max="8371" width="9.28515625" bestFit="1" customWidth="1"/>
    <col min="8373" max="8373" width="10.28515625" bestFit="1" customWidth="1"/>
    <col min="8374" max="8375" width="9.28515625" bestFit="1" customWidth="1"/>
    <col min="8377" max="8377" width="10.28515625" bestFit="1" customWidth="1"/>
    <col min="8378" max="8379" width="9.28515625" bestFit="1" customWidth="1"/>
    <col min="8381" max="8381" width="10.28515625" bestFit="1" customWidth="1"/>
    <col min="8382" max="8383" width="9.28515625" bestFit="1" customWidth="1"/>
    <col min="8385" max="8385" width="10.28515625" bestFit="1" customWidth="1"/>
    <col min="8386" max="8387" width="9.28515625" bestFit="1" customWidth="1"/>
    <col min="8389" max="8389" width="10.28515625" bestFit="1" customWidth="1"/>
    <col min="8390" max="8391" width="9.28515625" bestFit="1" customWidth="1"/>
    <col min="8393" max="8393" width="10.28515625" bestFit="1" customWidth="1"/>
    <col min="8394" max="8395" width="9.28515625" bestFit="1" customWidth="1"/>
    <col min="8397" max="8397" width="10.28515625" bestFit="1" customWidth="1"/>
    <col min="8398" max="8399" width="9.28515625" bestFit="1" customWidth="1"/>
    <col min="8401" max="8401" width="10.28515625" bestFit="1" customWidth="1"/>
    <col min="8402" max="8403" width="9.28515625" bestFit="1" customWidth="1"/>
    <col min="8405" max="8405" width="10.28515625" bestFit="1" customWidth="1"/>
    <col min="8406" max="8407" width="9.28515625" bestFit="1" customWidth="1"/>
    <col min="8409" max="8409" width="10.28515625" bestFit="1" customWidth="1"/>
    <col min="8410" max="8411" width="9.28515625" bestFit="1" customWidth="1"/>
    <col min="8413" max="8413" width="10.28515625" bestFit="1" customWidth="1"/>
    <col min="8414" max="8415" width="9.28515625" bestFit="1" customWidth="1"/>
    <col min="8417" max="8417" width="10.28515625" bestFit="1" customWidth="1"/>
    <col min="8418" max="8419" width="9.28515625" bestFit="1" customWidth="1"/>
    <col min="8421" max="8421" width="10.28515625" bestFit="1" customWidth="1"/>
    <col min="8422" max="8423" width="9.28515625" bestFit="1" customWidth="1"/>
    <col min="8425" max="8425" width="10.28515625" bestFit="1" customWidth="1"/>
    <col min="8426" max="8427" width="9.28515625" bestFit="1" customWidth="1"/>
    <col min="8429" max="8429" width="10.28515625" bestFit="1" customWidth="1"/>
    <col min="8430" max="8431" width="9.28515625" bestFit="1" customWidth="1"/>
    <col min="8433" max="8433" width="10.28515625" bestFit="1" customWidth="1"/>
    <col min="8434" max="8435" width="9.28515625" bestFit="1" customWidth="1"/>
    <col min="8437" max="8437" width="10.28515625" bestFit="1" customWidth="1"/>
    <col min="8438" max="8439" width="9.28515625" bestFit="1" customWidth="1"/>
    <col min="8441" max="8441" width="10.28515625" bestFit="1" customWidth="1"/>
    <col min="8442" max="8443" width="9.28515625" bestFit="1" customWidth="1"/>
    <col min="8445" max="8445" width="10.28515625" bestFit="1" customWidth="1"/>
    <col min="8446" max="8447" width="9.28515625" bestFit="1" customWidth="1"/>
    <col min="8449" max="8449" width="10.28515625" bestFit="1" customWidth="1"/>
    <col min="8450" max="8451" width="9.28515625" bestFit="1" customWidth="1"/>
    <col min="8453" max="8453" width="10.28515625" bestFit="1" customWidth="1"/>
    <col min="8454" max="8455" width="9.28515625" bestFit="1" customWidth="1"/>
    <col min="8457" max="8457" width="10.28515625" bestFit="1" customWidth="1"/>
    <col min="8458" max="8459" width="9.28515625" bestFit="1" customWidth="1"/>
    <col min="8461" max="8461" width="10.28515625" bestFit="1" customWidth="1"/>
    <col min="8462" max="8463" width="9.28515625" bestFit="1" customWidth="1"/>
    <col min="8465" max="8465" width="10.28515625" bestFit="1" customWidth="1"/>
    <col min="8466" max="8467" width="9.28515625" bestFit="1" customWidth="1"/>
    <col min="8469" max="8469" width="10.28515625" bestFit="1" customWidth="1"/>
    <col min="8470" max="8471" width="9.28515625" bestFit="1" customWidth="1"/>
    <col min="8473" max="8473" width="10.28515625" bestFit="1" customWidth="1"/>
    <col min="8474" max="8475" width="9.28515625" bestFit="1" customWidth="1"/>
    <col min="8477" max="8477" width="10.28515625" bestFit="1" customWidth="1"/>
    <col min="8478" max="8479" width="9.28515625" bestFit="1" customWidth="1"/>
    <col min="8481" max="8481" width="10.28515625" bestFit="1" customWidth="1"/>
    <col min="8482" max="8483" width="9.28515625" bestFit="1" customWidth="1"/>
    <col min="8485" max="8485" width="10.28515625" bestFit="1" customWidth="1"/>
    <col min="8486" max="8487" width="9.28515625" bestFit="1" customWidth="1"/>
    <col min="8489" max="8489" width="10.28515625" bestFit="1" customWidth="1"/>
    <col min="8490" max="8491" width="9.28515625" bestFit="1" customWidth="1"/>
    <col min="8493" max="8493" width="10.28515625" bestFit="1" customWidth="1"/>
    <col min="8494" max="8495" width="9.28515625" bestFit="1" customWidth="1"/>
    <col min="8497" max="8497" width="10.28515625" bestFit="1" customWidth="1"/>
    <col min="8498" max="8499" width="9.28515625" bestFit="1" customWidth="1"/>
    <col min="8501" max="8501" width="10.28515625" bestFit="1" customWidth="1"/>
    <col min="8502" max="8503" width="9.28515625" bestFit="1" customWidth="1"/>
    <col min="8505" max="8505" width="10.28515625" bestFit="1" customWidth="1"/>
    <col min="8506" max="8507" width="9.28515625" bestFit="1" customWidth="1"/>
    <col min="8509" max="8509" width="10.28515625" bestFit="1" customWidth="1"/>
    <col min="8510" max="8511" width="9.28515625" bestFit="1" customWidth="1"/>
    <col min="8513" max="8513" width="10.28515625" bestFit="1" customWidth="1"/>
    <col min="8514" max="8515" width="9.28515625" bestFit="1" customWidth="1"/>
    <col min="8517" max="8517" width="10.28515625" bestFit="1" customWidth="1"/>
    <col min="8518" max="8519" width="9.28515625" bestFit="1" customWidth="1"/>
    <col min="8521" max="8521" width="10.28515625" bestFit="1" customWidth="1"/>
    <col min="8522" max="8523" width="9.28515625" bestFit="1" customWidth="1"/>
    <col min="8525" max="8525" width="10.28515625" bestFit="1" customWidth="1"/>
    <col min="8526" max="8527" width="9.28515625" bestFit="1" customWidth="1"/>
    <col min="8529" max="8529" width="10.28515625" bestFit="1" customWidth="1"/>
    <col min="8530" max="8531" width="9.28515625" bestFit="1" customWidth="1"/>
    <col min="8533" max="8533" width="10.28515625" bestFit="1" customWidth="1"/>
    <col min="8534" max="8535" width="9.28515625" bestFit="1" customWidth="1"/>
    <col min="8537" max="8537" width="10.28515625" bestFit="1" customWidth="1"/>
    <col min="8538" max="8539" width="9.28515625" bestFit="1" customWidth="1"/>
    <col min="8541" max="8541" width="10.28515625" bestFit="1" customWidth="1"/>
    <col min="8542" max="8543" width="9.28515625" bestFit="1" customWidth="1"/>
    <col min="8545" max="8545" width="10.28515625" bestFit="1" customWidth="1"/>
    <col min="8546" max="8547" width="9.28515625" bestFit="1" customWidth="1"/>
    <col min="8549" max="8549" width="10.28515625" bestFit="1" customWidth="1"/>
    <col min="8550" max="8551" width="9.28515625" bestFit="1" customWidth="1"/>
    <col min="8553" max="8553" width="10.28515625" bestFit="1" customWidth="1"/>
    <col min="8554" max="8555" width="9.28515625" bestFit="1" customWidth="1"/>
    <col min="8557" max="8557" width="10.28515625" bestFit="1" customWidth="1"/>
    <col min="8558" max="8559" width="9.28515625" bestFit="1" customWidth="1"/>
    <col min="8561" max="8561" width="10.28515625" bestFit="1" customWidth="1"/>
    <col min="8562" max="8563" width="9.28515625" bestFit="1" customWidth="1"/>
    <col min="8565" max="8565" width="10.28515625" bestFit="1" customWidth="1"/>
    <col min="8566" max="8567" width="9.28515625" bestFit="1" customWidth="1"/>
    <col min="8569" max="8569" width="10.28515625" bestFit="1" customWidth="1"/>
    <col min="8570" max="8571" width="9.28515625" bestFit="1" customWidth="1"/>
    <col min="8573" max="8573" width="10.28515625" bestFit="1" customWidth="1"/>
    <col min="8574" max="8575" width="9.28515625" bestFit="1" customWidth="1"/>
    <col min="8577" max="8577" width="10.28515625" bestFit="1" customWidth="1"/>
    <col min="8578" max="8579" width="9.28515625" bestFit="1" customWidth="1"/>
    <col min="8581" max="8581" width="10.28515625" bestFit="1" customWidth="1"/>
    <col min="8582" max="8583" width="9.28515625" bestFit="1" customWidth="1"/>
    <col min="8585" max="8585" width="10.28515625" bestFit="1" customWidth="1"/>
    <col min="8586" max="8587" width="9.28515625" bestFit="1" customWidth="1"/>
    <col min="8589" max="8589" width="10.28515625" bestFit="1" customWidth="1"/>
    <col min="8590" max="8591" width="9.28515625" bestFit="1" customWidth="1"/>
    <col min="8593" max="8593" width="10.28515625" bestFit="1" customWidth="1"/>
    <col min="8594" max="8595" width="9.28515625" bestFit="1" customWidth="1"/>
    <col min="8597" max="8597" width="10.28515625" bestFit="1" customWidth="1"/>
    <col min="8598" max="8599" width="9.28515625" bestFit="1" customWidth="1"/>
    <col min="8601" max="8601" width="10.28515625" bestFit="1" customWidth="1"/>
    <col min="8602" max="8603" width="9.28515625" bestFit="1" customWidth="1"/>
    <col min="8605" max="8605" width="10.28515625" bestFit="1" customWidth="1"/>
    <col min="8606" max="8607" width="9.28515625" bestFit="1" customWidth="1"/>
    <col min="8609" max="8609" width="10.28515625" bestFit="1" customWidth="1"/>
    <col min="8610" max="8611" width="9.28515625" bestFit="1" customWidth="1"/>
    <col min="8613" max="8613" width="10.28515625" bestFit="1" customWidth="1"/>
    <col min="8614" max="8615" width="9.28515625" bestFit="1" customWidth="1"/>
    <col min="8617" max="8617" width="10.28515625" bestFit="1" customWidth="1"/>
    <col min="8618" max="8619" width="9.28515625" bestFit="1" customWidth="1"/>
    <col min="8621" max="8621" width="10.28515625" bestFit="1" customWidth="1"/>
    <col min="8622" max="8623" width="9.28515625" bestFit="1" customWidth="1"/>
    <col min="8625" max="8625" width="10.28515625" bestFit="1" customWidth="1"/>
    <col min="8626" max="8627" width="9.28515625" bestFit="1" customWidth="1"/>
    <col min="8629" max="8629" width="10.28515625" bestFit="1" customWidth="1"/>
    <col min="8630" max="8631" width="9.28515625" bestFit="1" customWidth="1"/>
    <col min="8633" max="8633" width="10.28515625" bestFit="1" customWidth="1"/>
    <col min="8634" max="8635" width="9.28515625" bestFit="1" customWidth="1"/>
    <col min="8637" max="8637" width="10.28515625" bestFit="1" customWidth="1"/>
    <col min="8638" max="8639" width="9.28515625" bestFit="1" customWidth="1"/>
    <col min="8641" max="8641" width="10.28515625" bestFit="1" customWidth="1"/>
    <col min="8642" max="8643" width="9.28515625" bestFit="1" customWidth="1"/>
    <col min="8645" max="8645" width="10.28515625" bestFit="1" customWidth="1"/>
    <col min="8646" max="8647" width="9.28515625" bestFit="1" customWidth="1"/>
    <col min="8649" max="8649" width="10.28515625" bestFit="1" customWidth="1"/>
    <col min="8650" max="8651" width="9.28515625" bestFit="1" customWidth="1"/>
    <col min="8653" max="8653" width="10.28515625" bestFit="1" customWidth="1"/>
    <col min="8654" max="8655" width="9.28515625" bestFit="1" customWidth="1"/>
    <col min="8657" max="8657" width="10.28515625" bestFit="1" customWidth="1"/>
    <col min="8658" max="8659" width="9.28515625" bestFit="1" customWidth="1"/>
    <col min="8661" max="8661" width="10.28515625" bestFit="1" customWidth="1"/>
    <col min="8662" max="8663" width="9.28515625" bestFit="1" customWidth="1"/>
    <col min="8665" max="8665" width="10.28515625" bestFit="1" customWidth="1"/>
    <col min="8666" max="8667" width="9.28515625" bestFit="1" customWidth="1"/>
    <col min="8669" max="8669" width="10.28515625" bestFit="1" customWidth="1"/>
    <col min="8670" max="8671" width="9.28515625" bestFit="1" customWidth="1"/>
    <col min="8673" max="8673" width="10.28515625" bestFit="1" customWidth="1"/>
    <col min="8674" max="8675" width="9.28515625" bestFit="1" customWidth="1"/>
    <col min="8677" max="8677" width="10.28515625" bestFit="1" customWidth="1"/>
    <col min="8678" max="8679" width="9.28515625" bestFit="1" customWidth="1"/>
    <col min="8681" max="8681" width="10.28515625" bestFit="1" customWidth="1"/>
    <col min="8682" max="8683" width="9.28515625" bestFit="1" customWidth="1"/>
    <col min="8685" max="8685" width="10.28515625" bestFit="1" customWidth="1"/>
    <col min="8686" max="8687" width="9.28515625" bestFit="1" customWidth="1"/>
    <col min="8689" max="8689" width="10.28515625" bestFit="1" customWidth="1"/>
    <col min="8690" max="8691" width="9.28515625" bestFit="1" customWidth="1"/>
    <col min="8693" max="8693" width="10.28515625" bestFit="1" customWidth="1"/>
    <col min="8694" max="8695" width="9.28515625" bestFit="1" customWidth="1"/>
    <col min="8697" max="8697" width="10.28515625" bestFit="1" customWidth="1"/>
    <col min="8698" max="8699" width="9.28515625" bestFit="1" customWidth="1"/>
    <col min="8701" max="8701" width="10.28515625" bestFit="1" customWidth="1"/>
    <col min="8702" max="8703" width="9.28515625" bestFit="1" customWidth="1"/>
    <col min="8705" max="8705" width="10.28515625" bestFit="1" customWidth="1"/>
    <col min="8706" max="8707" width="9.28515625" bestFit="1" customWidth="1"/>
    <col min="8709" max="8709" width="10.28515625" bestFit="1" customWidth="1"/>
    <col min="8710" max="8711" width="9.28515625" bestFit="1" customWidth="1"/>
    <col min="8713" max="8713" width="10.28515625" bestFit="1" customWidth="1"/>
    <col min="8714" max="8715" width="9.28515625" bestFit="1" customWidth="1"/>
    <col min="8717" max="8717" width="10.28515625" bestFit="1" customWidth="1"/>
    <col min="8718" max="8719" width="9.28515625" bestFit="1" customWidth="1"/>
    <col min="8721" max="8721" width="10.28515625" bestFit="1" customWidth="1"/>
    <col min="8722" max="8723" width="9.28515625" bestFit="1" customWidth="1"/>
    <col min="8725" max="8725" width="10.28515625" bestFit="1" customWidth="1"/>
    <col min="8726" max="8727" width="9.28515625" bestFit="1" customWidth="1"/>
    <col min="8729" max="8729" width="10.28515625" bestFit="1" customWidth="1"/>
    <col min="8730" max="8731" width="9.28515625" bestFit="1" customWidth="1"/>
    <col min="8733" max="8733" width="10.28515625" bestFit="1" customWidth="1"/>
    <col min="8734" max="8735" width="9.28515625" bestFit="1" customWidth="1"/>
    <col min="8737" max="8737" width="10.28515625" bestFit="1" customWidth="1"/>
    <col min="8738" max="8739" width="9.28515625" bestFit="1" customWidth="1"/>
    <col min="8741" max="8741" width="10.28515625" bestFit="1" customWidth="1"/>
    <col min="8742" max="8743" width="9.28515625" bestFit="1" customWidth="1"/>
    <col min="8745" max="8745" width="10.28515625" bestFit="1" customWidth="1"/>
    <col min="8746" max="8747" width="9.28515625" bestFit="1" customWidth="1"/>
    <col min="8749" max="8749" width="10.28515625" bestFit="1" customWidth="1"/>
    <col min="8750" max="8751" width="9.28515625" bestFit="1" customWidth="1"/>
    <col min="8753" max="8753" width="10.28515625" bestFit="1" customWidth="1"/>
    <col min="8754" max="8755" width="9.28515625" bestFit="1" customWidth="1"/>
    <col min="8757" max="8757" width="10.28515625" bestFit="1" customWidth="1"/>
    <col min="8758" max="8759" width="9.28515625" bestFit="1" customWidth="1"/>
    <col min="8761" max="8761" width="10.28515625" bestFit="1" customWidth="1"/>
    <col min="8762" max="8763" width="9.28515625" bestFit="1" customWidth="1"/>
    <col min="8765" max="8765" width="10.28515625" bestFit="1" customWidth="1"/>
    <col min="8766" max="8767" width="9.28515625" bestFit="1" customWidth="1"/>
    <col min="8769" max="8769" width="10.28515625" bestFit="1" customWidth="1"/>
    <col min="8770" max="8771" width="9.28515625" bestFit="1" customWidth="1"/>
    <col min="8773" max="8773" width="10.28515625" bestFit="1" customWidth="1"/>
    <col min="8774" max="8775" width="9.28515625" bestFit="1" customWidth="1"/>
    <col min="8777" max="8777" width="10.28515625" bestFit="1" customWidth="1"/>
    <col min="8778" max="8779" width="9.28515625" bestFit="1" customWidth="1"/>
    <col min="8781" max="8781" width="10.28515625" bestFit="1" customWidth="1"/>
    <col min="8782" max="8783" width="9.28515625" bestFit="1" customWidth="1"/>
    <col min="8785" max="8785" width="10.28515625" bestFit="1" customWidth="1"/>
    <col min="8786" max="8787" width="9.28515625" bestFit="1" customWidth="1"/>
    <col min="8789" max="8789" width="10.28515625" bestFit="1" customWidth="1"/>
    <col min="8790" max="8791" width="9.28515625" bestFit="1" customWidth="1"/>
    <col min="8793" max="8793" width="10.28515625" bestFit="1" customWidth="1"/>
    <col min="8794" max="8795" width="9.28515625" bestFit="1" customWidth="1"/>
    <col min="8797" max="8797" width="10.28515625" bestFit="1" customWidth="1"/>
    <col min="8798" max="8799" width="9.28515625" bestFit="1" customWidth="1"/>
    <col min="8801" max="8801" width="10.28515625" bestFit="1" customWidth="1"/>
    <col min="8802" max="8803" width="9.28515625" bestFit="1" customWidth="1"/>
    <col min="8805" max="8805" width="10.28515625" bestFit="1" customWidth="1"/>
    <col min="8806" max="8807" width="9.28515625" bestFit="1" customWidth="1"/>
    <col min="8809" max="8809" width="10.28515625" bestFit="1" customWidth="1"/>
    <col min="8810" max="8811" width="9.28515625" bestFit="1" customWidth="1"/>
    <col min="8813" max="8813" width="10.28515625" bestFit="1" customWidth="1"/>
    <col min="8814" max="8815" width="9.28515625" bestFit="1" customWidth="1"/>
    <col min="8817" max="8817" width="10.28515625" bestFit="1" customWidth="1"/>
    <col min="8818" max="8819" width="9.28515625" bestFit="1" customWidth="1"/>
    <col min="8821" max="8821" width="10.28515625" bestFit="1" customWidth="1"/>
    <col min="8822" max="8823" width="9.28515625" bestFit="1" customWidth="1"/>
    <col min="8825" max="8825" width="10.28515625" bestFit="1" customWidth="1"/>
    <col min="8826" max="8827" width="9.28515625" bestFit="1" customWidth="1"/>
    <col min="8829" max="8829" width="10.28515625" bestFit="1" customWidth="1"/>
    <col min="8830" max="8831" width="9.28515625" bestFit="1" customWidth="1"/>
    <col min="8833" max="8833" width="10.28515625" bestFit="1" customWidth="1"/>
    <col min="8834" max="8835" width="9.28515625" bestFit="1" customWidth="1"/>
    <col min="8837" max="8837" width="10.28515625" bestFit="1" customWidth="1"/>
    <col min="8838" max="8839" width="9.28515625" bestFit="1" customWidth="1"/>
    <col min="8841" max="8841" width="10.28515625" bestFit="1" customWidth="1"/>
    <col min="8842" max="8843" width="9.28515625" bestFit="1" customWidth="1"/>
    <col min="8845" max="8845" width="10.28515625" bestFit="1" customWidth="1"/>
    <col min="8846" max="8847" width="9.28515625" bestFit="1" customWidth="1"/>
    <col min="8849" max="8849" width="10.28515625" bestFit="1" customWidth="1"/>
    <col min="8850" max="8851" width="9.28515625" bestFit="1" customWidth="1"/>
    <col min="8853" max="8853" width="10.28515625" bestFit="1" customWidth="1"/>
    <col min="8854" max="8855" width="9.28515625" bestFit="1" customWidth="1"/>
    <col min="8857" max="8857" width="10.28515625" bestFit="1" customWidth="1"/>
    <col min="8858" max="8859" width="9.28515625" bestFit="1" customWidth="1"/>
    <col min="8861" max="8861" width="10.28515625" bestFit="1" customWidth="1"/>
    <col min="8862" max="8863" width="9.28515625" bestFit="1" customWidth="1"/>
    <col min="8865" max="8865" width="10.28515625" bestFit="1" customWidth="1"/>
    <col min="8866" max="8867" width="9.28515625" bestFit="1" customWidth="1"/>
    <col min="8869" max="8869" width="10.28515625" bestFit="1" customWidth="1"/>
    <col min="8870" max="8871" width="9.28515625" bestFit="1" customWidth="1"/>
    <col min="8873" max="8873" width="10.28515625" bestFit="1" customWidth="1"/>
    <col min="8874" max="8875" width="9.28515625" bestFit="1" customWidth="1"/>
    <col min="8877" max="8877" width="10.28515625" bestFit="1" customWidth="1"/>
    <col min="8878" max="8879" width="9.28515625" bestFit="1" customWidth="1"/>
    <col min="8881" max="8881" width="10.28515625" bestFit="1" customWidth="1"/>
    <col min="8882" max="8883" width="9.28515625" bestFit="1" customWidth="1"/>
    <col min="8885" max="8885" width="10.28515625" bestFit="1" customWidth="1"/>
    <col min="8886" max="8887" width="9.28515625" bestFit="1" customWidth="1"/>
    <col min="8889" max="8889" width="10.28515625" bestFit="1" customWidth="1"/>
    <col min="8890" max="8891" width="9.28515625" bestFit="1" customWidth="1"/>
    <col min="8893" max="8893" width="10.28515625" bestFit="1" customWidth="1"/>
    <col min="8894" max="8895" width="9.28515625" bestFit="1" customWidth="1"/>
    <col min="8897" max="8897" width="10.28515625" bestFit="1" customWidth="1"/>
    <col min="8898" max="8899" width="9.28515625" bestFit="1" customWidth="1"/>
    <col min="8901" max="8901" width="10.28515625" bestFit="1" customWidth="1"/>
    <col min="8902" max="8903" width="9.28515625" bestFit="1" customWidth="1"/>
    <col min="8905" max="8905" width="10.28515625" bestFit="1" customWidth="1"/>
    <col min="8906" max="8907" width="9.28515625" bestFit="1" customWidth="1"/>
    <col min="8909" max="8909" width="10.28515625" bestFit="1" customWidth="1"/>
    <col min="8910" max="8911" width="9.28515625" bestFit="1" customWidth="1"/>
    <col min="8913" max="8913" width="10.28515625" bestFit="1" customWidth="1"/>
    <col min="8914" max="8915" width="9.28515625" bestFit="1" customWidth="1"/>
    <col min="8917" max="8917" width="10.28515625" bestFit="1" customWidth="1"/>
    <col min="8918" max="8919" width="9.28515625" bestFit="1" customWidth="1"/>
    <col min="8921" max="8921" width="10.28515625" bestFit="1" customWidth="1"/>
    <col min="8922" max="8923" width="9.28515625" bestFit="1" customWidth="1"/>
    <col min="8925" max="8925" width="10.28515625" bestFit="1" customWidth="1"/>
    <col min="8926" max="8927" width="9.28515625" bestFit="1" customWidth="1"/>
    <col min="8929" max="8929" width="10.28515625" bestFit="1" customWidth="1"/>
    <col min="8930" max="8931" width="9.28515625" bestFit="1" customWidth="1"/>
    <col min="8933" max="8933" width="10.28515625" bestFit="1" customWidth="1"/>
    <col min="8934" max="8935" width="9.28515625" bestFit="1" customWidth="1"/>
    <col min="8937" max="8937" width="10.28515625" bestFit="1" customWidth="1"/>
    <col min="8938" max="8939" width="9.28515625" bestFit="1" customWidth="1"/>
    <col min="8941" max="8941" width="10.28515625" bestFit="1" customWidth="1"/>
    <col min="8942" max="8943" width="9.28515625" bestFit="1" customWidth="1"/>
    <col min="8945" max="8945" width="10.28515625" bestFit="1" customWidth="1"/>
    <col min="8946" max="8947" width="9.28515625" bestFit="1" customWidth="1"/>
    <col min="8949" max="8949" width="10.28515625" bestFit="1" customWidth="1"/>
    <col min="8950" max="8951" width="9.28515625" bestFit="1" customWidth="1"/>
    <col min="8953" max="8953" width="10.28515625" bestFit="1" customWidth="1"/>
    <col min="8954" max="8955" width="9.28515625" bestFit="1" customWidth="1"/>
    <col min="8957" max="8957" width="10.28515625" bestFit="1" customWidth="1"/>
    <col min="8958" max="8959" width="9.28515625" bestFit="1" customWidth="1"/>
    <col min="8961" max="8961" width="10.28515625" bestFit="1" customWidth="1"/>
    <col min="8962" max="8963" width="9.28515625" bestFit="1" customWidth="1"/>
    <col min="8965" max="8965" width="10.28515625" bestFit="1" customWidth="1"/>
    <col min="8966" max="8967" width="9.28515625" bestFit="1" customWidth="1"/>
    <col min="8969" max="8969" width="10.28515625" bestFit="1" customWidth="1"/>
    <col min="8970" max="8971" width="9.28515625" bestFit="1" customWidth="1"/>
    <col min="8973" max="8973" width="10.28515625" bestFit="1" customWidth="1"/>
    <col min="8974" max="8975" width="9.28515625" bestFit="1" customWidth="1"/>
    <col min="8977" max="8977" width="10.28515625" bestFit="1" customWidth="1"/>
    <col min="8978" max="8979" width="9.28515625" bestFit="1" customWidth="1"/>
    <col min="8981" max="8981" width="10.28515625" bestFit="1" customWidth="1"/>
    <col min="8982" max="8983" width="9.28515625" bestFit="1" customWidth="1"/>
    <col min="8985" max="8985" width="10.28515625" bestFit="1" customWidth="1"/>
    <col min="8986" max="8987" width="9.28515625" bestFit="1" customWidth="1"/>
    <col min="8989" max="8989" width="10.28515625" bestFit="1" customWidth="1"/>
    <col min="8990" max="8991" width="9.28515625" bestFit="1" customWidth="1"/>
    <col min="8993" max="8993" width="10.28515625" bestFit="1" customWidth="1"/>
    <col min="8994" max="8995" width="9.28515625" bestFit="1" customWidth="1"/>
    <col min="8997" max="8997" width="10.28515625" bestFit="1" customWidth="1"/>
    <col min="8998" max="8999" width="9.28515625" bestFit="1" customWidth="1"/>
    <col min="9001" max="9001" width="10.28515625" bestFit="1" customWidth="1"/>
    <col min="9002" max="9003" width="9.28515625" bestFit="1" customWidth="1"/>
    <col min="9005" max="9005" width="10.28515625" bestFit="1" customWidth="1"/>
    <col min="9006" max="9007" width="9.28515625" bestFit="1" customWidth="1"/>
    <col min="9009" max="9009" width="10.28515625" bestFit="1" customWidth="1"/>
    <col min="9010" max="9011" width="9.28515625" bestFit="1" customWidth="1"/>
    <col min="9013" max="9013" width="10.28515625" bestFit="1" customWidth="1"/>
    <col min="9014" max="9015" width="9.28515625" bestFit="1" customWidth="1"/>
    <col min="9017" max="9017" width="10.28515625" bestFit="1" customWidth="1"/>
    <col min="9018" max="9019" width="9.28515625" bestFit="1" customWidth="1"/>
    <col min="9021" max="9021" width="10.28515625" bestFit="1" customWidth="1"/>
    <col min="9022" max="9023" width="9.28515625" bestFit="1" customWidth="1"/>
    <col min="9025" max="9025" width="10.28515625" bestFit="1" customWidth="1"/>
    <col min="9026" max="9027" width="9.28515625" bestFit="1" customWidth="1"/>
    <col min="9029" max="9029" width="10.28515625" bestFit="1" customWidth="1"/>
    <col min="9030" max="9031" width="9.28515625" bestFit="1" customWidth="1"/>
    <col min="9033" max="9033" width="10.28515625" bestFit="1" customWidth="1"/>
    <col min="9034" max="9035" width="9.28515625" bestFit="1" customWidth="1"/>
    <col min="9037" max="9037" width="10.28515625" bestFit="1" customWidth="1"/>
    <col min="9038" max="9039" width="9.28515625" bestFit="1" customWidth="1"/>
    <col min="9041" max="9041" width="10.28515625" bestFit="1" customWidth="1"/>
    <col min="9042" max="9043" width="9.28515625" bestFit="1" customWidth="1"/>
    <col min="9045" max="9045" width="10.28515625" bestFit="1" customWidth="1"/>
    <col min="9046" max="9047" width="9.28515625" bestFit="1" customWidth="1"/>
    <col min="9049" max="9049" width="10.28515625" bestFit="1" customWidth="1"/>
    <col min="9050" max="9051" width="9.28515625" bestFit="1" customWidth="1"/>
    <col min="9053" max="9053" width="10.28515625" bestFit="1" customWidth="1"/>
    <col min="9054" max="9055" width="9.28515625" bestFit="1" customWidth="1"/>
    <col min="9057" max="9057" width="10.28515625" bestFit="1" customWidth="1"/>
    <col min="9058" max="9059" width="9.28515625" bestFit="1" customWidth="1"/>
    <col min="9061" max="9061" width="10.28515625" bestFit="1" customWidth="1"/>
    <col min="9062" max="9063" width="9.28515625" bestFit="1" customWidth="1"/>
    <col min="9065" max="9065" width="10.28515625" bestFit="1" customWidth="1"/>
    <col min="9066" max="9067" width="9.28515625" bestFit="1" customWidth="1"/>
    <col min="9069" max="9069" width="10.28515625" bestFit="1" customWidth="1"/>
    <col min="9070" max="9071" width="9.28515625" bestFit="1" customWidth="1"/>
    <col min="9073" max="9073" width="10.28515625" bestFit="1" customWidth="1"/>
    <col min="9074" max="9075" width="9.28515625" bestFit="1" customWidth="1"/>
    <col min="9077" max="9077" width="10.28515625" bestFit="1" customWidth="1"/>
    <col min="9078" max="9079" width="9.28515625" bestFit="1" customWidth="1"/>
    <col min="9081" max="9081" width="10.28515625" bestFit="1" customWidth="1"/>
    <col min="9082" max="9083" width="9.28515625" bestFit="1" customWidth="1"/>
    <col min="9085" max="9085" width="10.28515625" bestFit="1" customWidth="1"/>
    <col min="9086" max="9087" width="9.28515625" bestFit="1" customWidth="1"/>
    <col min="9089" max="9089" width="10.28515625" bestFit="1" customWidth="1"/>
    <col min="9090" max="9091" width="9.28515625" bestFit="1" customWidth="1"/>
    <col min="9093" max="9093" width="10.28515625" bestFit="1" customWidth="1"/>
    <col min="9094" max="9095" width="9.28515625" bestFit="1" customWidth="1"/>
    <col min="9097" max="9097" width="10.28515625" bestFit="1" customWidth="1"/>
    <col min="9098" max="9099" width="9.28515625" bestFit="1" customWidth="1"/>
    <col min="9101" max="9101" width="10.28515625" bestFit="1" customWidth="1"/>
    <col min="9102" max="9103" width="9.28515625" bestFit="1" customWidth="1"/>
    <col min="9105" max="9105" width="10.28515625" bestFit="1" customWidth="1"/>
    <col min="9106" max="9107" width="9.28515625" bestFit="1" customWidth="1"/>
    <col min="9109" max="9109" width="10.28515625" bestFit="1" customWidth="1"/>
    <col min="9110" max="9111" width="9.28515625" bestFit="1" customWidth="1"/>
    <col min="9113" max="9113" width="10.28515625" bestFit="1" customWidth="1"/>
    <col min="9114" max="9115" width="9.28515625" bestFit="1" customWidth="1"/>
    <col min="9117" max="9117" width="10.28515625" bestFit="1" customWidth="1"/>
    <col min="9118" max="9119" width="9.28515625" bestFit="1" customWidth="1"/>
    <col min="9121" max="9121" width="10.28515625" bestFit="1" customWidth="1"/>
    <col min="9122" max="9123" width="9.28515625" bestFit="1" customWidth="1"/>
    <col min="9125" max="9125" width="10.28515625" bestFit="1" customWidth="1"/>
    <col min="9126" max="9127" width="9.28515625" bestFit="1" customWidth="1"/>
    <col min="9129" max="9129" width="10.28515625" bestFit="1" customWidth="1"/>
    <col min="9130" max="9131" width="9.28515625" bestFit="1" customWidth="1"/>
    <col min="9133" max="9133" width="10.28515625" bestFit="1" customWidth="1"/>
    <col min="9134" max="9135" width="9.28515625" bestFit="1" customWidth="1"/>
    <col min="9137" max="9137" width="10.28515625" bestFit="1" customWidth="1"/>
    <col min="9138" max="9139" width="9.28515625" bestFit="1" customWidth="1"/>
    <col min="9141" max="9141" width="10.28515625" bestFit="1" customWidth="1"/>
    <col min="9142" max="9143" width="9.28515625" bestFit="1" customWidth="1"/>
    <col min="9145" max="9145" width="10.28515625" bestFit="1" customWidth="1"/>
    <col min="9146" max="9147" width="9.28515625" bestFit="1" customWidth="1"/>
    <col min="9149" max="9149" width="10.28515625" bestFit="1" customWidth="1"/>
    <col min="9150" max="9151" width="9.28515625" bestFit="1" customWidth="1"/>
    <col min="9153" max="9153" width="10.28515625" bestFit="1" customWidth="1"/>
    <col min="9154" max="9155" width="9.28515625" bestFit="1" customWidth="1"/>
    <col min="9157" max="9157" width="10.28515625" bestFit="1" customWidth="1"/>
    <col min="9158" max="9159" width="9.28515625" bestFit="1" customWidth="1"/>
    <col min="9161" max="9161" width="10.28515625" bestFit="1" customWidth="1"/>
    <col min="9162" max="9163" width="9.28515625" bestFit="1" customWidth="1"/>
    <col min="9165" max="9165" width="10.28515625" bestFit="1" customWidth="1"/>
    <col min="9166" max="9167" width="9.28515625" bestFit="1" customWidth="1"/>
    <col min="9169" max="9169" width="10.28515625" bestFit="1" customWidth="1"/>
    <col min="9170" max="9171" width="9.28515625" bestFit="1" customWidth="1"/>
    <col min="9173" max="9173" width="10.28515625" bestFit="1" customWidth="1"/>
    <col min="9174" max="9175" width="9.28515625" bestFit="1" customWidth="1"/>
    <col min="9177" max="9177" width="10.28515625" bestFit="1" customWidth="1"/>
    <col min="9178" max="9179" width="9.28515625" bestFit="1" customWidth="1"/>
    <col min="9181" max="9181" width="10.28515625" bestFit="1" customWidth="1"/>
    <col min="9182" max="9183" width="9.28515625" bestFit="1" customWidth="1"/>
    <col min="9185" max="9185" width="10.28515625" bestFit="1" customWidth="1"/>
    <col min="9186" max="9187" width="9.28515625" bestFit="1" customWidth="1"/>
    <col min="9189" max="9189" width="10.28515625" bestFit="1" customWidth="1"/>
    <col min="9190" max="9191" width="9.28515625" bestFit="1" customWidth="1"/>
    <col min="9193" max="9193" width="10.28515625" bestFit="1" customWidth="1"/>
    <col min="9194" max="9195" width="9.28515625" bestFit="1" customWidth="1"/>
    <col min="9197" max="9197" width="10.28515625" bestFit="1" customWidth="1"/>
    <col min="9198" max="9199" width="9.28515625" bestFit="1" customWidth="1"/>
    <col min="9201" max="9201" width="10.28515625" bestFit="1" customWidth="1"/>
    <col min="9202" max="9203" width="9.28515625" bestFit="1" customWidth="1"/>
    <col min="9205" max="9205" width="10.28515625" bestFit="1" customWidth="1"/>
    <col min="9206" max="9207" width="9.28515625" bestFit="1" customWidth="1"/>
    <col min="9209" max="9209" width="10.28515625" bestFit="1" customWidth="1"/>
    <col min="9210" max="9211" width="9.28515625" bestFit="1" customWidth="1"/>
    <col min="9213" max="9213" width="10.28515625" bestFit="1" customWidth="1"/>
    <col min="9214" max="9215" width="9.28515625" bestFit="1" customWidth="1"/>
    <col min="9217" max="9217" width="10.28515625" bestFit="1" customWidth="1"/>
    <col min="9218" max="9219" width="9.28515625" bestFit="1" customWidth="1"/>
    <col min="9221" max="9221" width="10.28515625" bestFit="1" customWidth="1"/>
    <col min="9222" max="9223" width="9.28515625" bestFit="1" customWidth="1"/>
    <col min="9225" max="9225" width="10.28515625" bestFit="1" customWidth="1"/>
    <col min="9226" max="9227" width="9.28515625" bestFit="1" customWidth="1"/>
    <col min="9229" max="9229" width="10.28515625" bestFit="1" customWidth="1"/>
    <col min="9230" max="9231" width="9.28515625" bestFit="1" customWidth="1"/>
    <col min="9233" max="9233" width="10.28515625" bestFit="1" customWidth="1"/>
    <col min="9234" max="9235" width="9.28515625" bestFit="1" customWidth="1"/>
    <col min="9237" max="9237" width="10.28515625" bestFit="1" customWidth="1"/>
    <col min="9238" max="9239" width="9.28515625" bestFit="1" customWidth="1"/>
    <col min="9241" max="9241" width="10.28515625" bestFit="1" customWidth="1"/>
    <col min="9242" max="9243" width="9.28515625" bestFit="1" customWidth="1"/>
    <col min="9245" max="9245" width="10.28515625" bestFit="1" customWidth="1"/>
    <col min="9246" max="9247" width="9.28515625" bestFit="1" customWidth="1"/>
    <col min="9249" max="9249" width="10.28515625" bestFit="1" customWidth="1"/>
    <col min="9250" max="9251" width="9.28515625" bestFit="1" customWidth="1"/>
    <col min="9253" max="9253" width="10.28515625" bestFit="1" customWidth="1"/>
    <col min="9254" max="9255" width="9.28515625" bestFit="1" customWidth="1"/>
    <col min="9257" max="9257" width="10.28515625" bestFit="1" customWidth="1"/>
    <col min="9258" max="9259" width="9.28515625" bestFit="1" customWidth="1"/>
    <col min="9261" max="9261" width="10.28515625" bestFit="1" customWidth="1"/>
    <col min="9262" max="9263" width="9.28515625" bestFit="1" customWidth="1"/>
    <col min="9265" max="9265" width="10.28515625" bestFit="1" customWidth="1"/>
    <col min="9266" max="9267" width="9.28515625" bestFit="1" customWidth="1"/>
    <col min="9269" max="9269" width="10.28515625" bestFit="1" customWidth="1"/>
    <col min="9270" max="9271" width="9.28515625" bestFit="1" customWidth="1"/>
    <col min="9273" max="9273" width="10.28515625" bestFit="1" customWidth="1"/>
    <col min="9274" max="9275" width="9.28515625" bestFit="1" customWidth="1"/>
    <col min="9277" max="9277" width="10.28515625" bestFit="1" customWidth="1"/>
    <col min="9278" max="9279" width="9.28515625" bestFit="1" customWidth="1"/>
    <col min="9281" max="9281" width="10.28515625" bestFit="1" customWidth="1"/>
    <col min="9282" max="9283" width="9.28515625" bestFit="1" customWidth="1"/>
    <col min="9285" max="9285" width="10.28515625" bestFit="1" customWidth="1"/>
    <col min="9286" max="9287" width="9.28515625" bestFit="1" customWidth="1"/>
    <col min="9289" max="9289" width="10.28515625" bestFit="1" customWidth="1"/>
    <col min="9290" max="9291" width="9.28515625" bestFit="1" customWidth="1"/>
    <col min="9293" max="9293" width="10.28515625" bestFit="1" customWidth="1"/>
    <col min="9294" max="9295" width="9.28515625" bestFit="1" customWidth="1"/>
    <col min="9297" max="9297" width="10.28515625" bestFit="1" customWidth="1"/>
    <col min="9298" max="9299" width="9.28515625" bestFit="1" customWidth="1"/>
    <col min="9301" max="9301" width="10.28515625" bestFit="1" customWidth="1"/>
    <col min="9302" max="9303" width="9.28515625" bestFit="1" customWidth="1"/>
    <col min="9305" max="9305" width="10.28515625" bestFit="1" customWidth="1"/>
    <col min="9306" max="9307" width="9.28515625" bestFit="1" customWidth="1"/>
    <col min="9309" max="9309" width="10.28515625" bestFit="1" customWidth="1"/>
    <col min="9310" max="9311" width="9.28515625" bestFit="1" customWidth="1"/>
    <col min="9313" max="9313" width="10.28515625" bestFit="1" customWidth="1"/>
    <col min="9314" max="9315" width="9.28515625" bestFit="1" customWidth="1"/>
    <col min="9317" max="9317" width="10.28515625" bestFit="1" customWidth="1"/>
    <col min="9318" max="9319" width="9.28515625" bestFit="1" customWidth="1"/>
    <col min="9321" max="9321" width="10.28515625" bestFit="1" customWidth="1"/>
    <col min="9322" max="9323" width="9.28515625" bestFit="1" customWidth="1"/>
    <col min="9325" max="9325" width="10.28515625" bestFit="1" customWidth="1"/>
    <col min="9326" max="9327" width="9.28515625" bestFit="1" customWidth="1"/>
    <col min="9329" max="9329" width="10.28515625" bestFit="1" customWidth="1"/>
    <col min="9330" max="9331" width="9.28515625" bestFit="1" customWidth="1"/>
    <col min="9333" max="9333" width="10.28515625" bestFit="1" customWidth="1"/>
    <col min="9334" max="9335" width="9.28515625" bestFit="1" customWidth="1"/>
    <col min="9337" max="9337" width="10.28515625" bestFit="1" customWidth="1"/>
    <col min="9338" max="9339" width="9.28515625" bestFit="1" customWidth="1"/>
    <col min="9341" max="9341" width="10.28515625" bestFit="1" customWidth="1"/>
    <col min="9342" max="9343" width="9.28515625" bestFit="1" customWidth="1"/>
    <col min="9345" max="9345" width="10.28515625" bestFit="1" customWidth="1"/>
    <col min="9346" max="9347" width="9.28515625" bestFit="1" customWidth="1"/>
    <col min="9349" max="9349" width="10.28515625" bestFit="1" customWidth="1"/>
    <col min="9350" max="9351" width="9.28515625" bestFit="1" customWidth="1"/>
    <col min="9353" max="9353" width="10.28515625" bestFit="1" customWidth="1"/>
    <col min="9354" max="9355" width="9.28515625" bestFit="1" customWidth="1"/>
    <col min="9357" max="9357" width="10.28515625" bestFit="1" customWidth="1"/>
    <col min="9358" max="9359" width="9.28515625" bestFit="1" customWidth="1"/>
    <col min="9361" max="9361" width="10.28515625" bestFit="1" customWidth="1"/>
    <col min="9362" max="9363" width="9.28515625" bestFit="1" customWidth="1"/>
    <col min="9365" max="9365" width="10.28515625" bestFit="1" customWidth="1"/>
    <col min="9366" max="9367" width="9.28515625" bestFit="1" customWidth="1"/>
    <col min="9369" max="9369" width="10.28515625" bestFit="1" customWidth="1"/>
    <col min="9370" max="9371" width="9.28515625" bestFit="1" customWidth="1"/>
    <col min="9373" max="9373" width="10.28515625" bestFit="1" customWidth="1"/>
    <col min="9374" max="9375" width="9.28515625" bestFit="1" customWidth="1"/>
    <col min="9377" max="9377" width="10.28515625" bestFit="1" customWidth="1"/>
    <col min="9378" max="9379" width="9.28515625" bestFit="1" customWidth="1"/>
    <col min="9381" max="9381" width="10.28515625" bestFit="1" customWidth="1"/>
    <col min="9382" max="9383" width="9.28515625" bestFit="1" customWidth="1"/>
    <col min="9385" max="9385" width="10.28515625" bestFit="1" customWidth="1"/>
    <col min="9386" max="9387" width="9.28515625" bestFit="1" customWidth="1"/>
    <col min="9389" max="9389" width="10.28515625" bestFit="1" customWidth="1"/>
    <col min="9390" max="9391" width="9.28515625" bestFit="1" customWidth="1"/>
    <col min="9393" max="9393" width="10.28515625" bestFit="1" customWidth="1"/>
    <col min="9394" max="9395" width="9.28515625" bestFit="1" customWidth="1"/>
    <col min="9397" max="9397" width="10.28515625" bestFit="1" customWidth="1"/>
    <col min="9398" max="9399" width="9.28515625" bestFit="1" customWidth="1"/>
    <col min="9401" max="9401" width="10.28515625" bestFit="1" customWidth="1"/>
    <col min="9402" max="9403" width="9.28515625" bestFit="1" customWidth="1"/>
    <col min="9405" max="9405" width="10.28515625" bestFit="1" customWidth="1"/>
    <col min="9406" max="9407" width="9.28515625" bestFit="1" customWidth="1"/>
    <col min="9409" max="9409" width="10.28515625" bestFit="1" customWidth="1"/>
    <col min="9410" max="9411" width="9.28515625" bestFit="1" customWidth="1"/>
    <col min="9413" max="9413" width="10.28515625" bestFit="1" customWidth="1"/>
    <col min="9414" max="9415" width="9.28515625" bestFit="1" customWidth="1"/>
    <col min="9417" max="9417" width="10.28515625" bestFit="1" customWidth="1"/>
    <col min="9418" max="9419" width="9.28515625" bestFit="1" customWidth="1"/>
    <col min="9421" max="9421" width="10.28515625" bestFit="1" customWidth="1"/>
    <col min="9422" max="9423" width="9.28515625" bestFit="1" customWidth="1"/>
    <col min="9425" max="9425" width="10.28515625" bestFit="1" customWidth="1"/>
    <col min="9426" max="9427" width="9.28515625" bestFit="1" customWidth="1"/>
    <col min="9429" max="9429" width="10.28515625" bestFit="1" customWidth="1"/>
    <col min="9430" max="9431" width="9.28515625" bestFit="1" customWidth="1"/>
    <col min="9433" max="9433" width="10.28515625" bestFit="1" customWidth="1"/>
    <col min="9434" max="9435" width="9.28515625" bestFit="1" customWidth="1"/>
    <col min="9437" max="9437" width="10.28515625" bestFit="1" customWidth="1"/>
    <col min="9438" max="9439" width="9.28515625" bestFit="1" customWidth="1"/>
    <col min="9441" max="9441" width="10.28515625" bestFit="1" customWidth="1"/>
    <col min="9442" max="9443" width="9.28515625" bestFit="1" customWidth="1"/>
    <col min="9445" max="9445" width="10.28515625" bestFit="1" customWidth="1"/>
    <col min="9446" max="9447" width="9.28515625" bestFit="1" customWidth="1"/>
    <col min="9449" max="9449" width="10.28515625" bestFit="1" customWidth="1"/>
    <col min="9450" max="9451" width="9.28515625" bestFit="1" customWidth="1"/>
    <col min="9453" max="9453" width="10.28515625" bestFit="1" customWidth="1"/>
    <col min="9454" max="9455" width="9.28515625" bestFit="1" customWidth="1"/>
    <col min="9457" max="9457" width="10.28515625" bestFit="1" customWidth="1"/>
    <col min="9458" max="9459" width="9.28515625" bestFit="1" customWidth="1"/>
    <col min="9461" max="9461" width="10.28515625" bestFit="1" customWidth="1"/>
    <col min="9462" max="9463" width="9.28515625" bestFit="1" customWidth="1"/>
    <col min="9465" max="9465" width="10.28515625" bestFit="1" customWidth="1"/>
    <col min="9466" max="9467" width="9.28515625" bestFit="1" customWidth="1"/>
    <col min="9469" max="9469" width="10.28515625" bestFit="1" customWidth="1"/>
    <col min="9470" max="9471" width="9.28515625" bestFit="1" customWidth="1"/>
    <col min="9473" max="9473" width="10.28515625" bestFit="1" customWidth="1"/>
    <col min="9474" max="9475" width="9.28515625" bestFit="1" customWidth="1"/>
    <col min="9477" max="9477" width="10.28515625" bestFit="1" customWidth="1"/>
    <col min="9478" max="9479" width="9.28515625" bestFit="1" customWidth="1"/>
    <col min="9481" max="9481" width="10.28515625" bestFit="1" customWidth="1"/>
    <col min="9482" max="9483" width="9.28515625" bestFit="1" customWidth="1"/>
    <col min="9485" max="9485" width="10.28515625" bestFit="1" customWidth="1"/>
    <col min="9486" max="9487" width="9.28515625" bestFit="1" customWidth="1"/>
    <col min="9489" max="9489" width="10.28515625" bestFit="1" customWidth="1"/>
    <col min="9490" max="9491" width="9.28515625" bestFit="1" customWidth="1"/>
    <col min="9493" max="9493" width="10.28515625" bestFit="1" customWidth="1"/>
    <col min="9494" max="9495" width="9.28515625" bestFit="1" customWidth="1"/>
    <col min="9497" max="9497" width="10.28515625" bestFit="1" customWidth="1"/>
    <col min="9498" max="9499" width="9.28515625" bestFit="1" customWidth="1"/>
    <col min="9501" max="9501" width="10.28515625" bestFit="1" customWidth="1"/>
    <col min="9502" max="9503" width="9.28515625" bestFit="1" customWidth="1"/>
    <col min="9505" max="9505" width="10.28515625" bestFit="1" customWidth="1"/>
    <col min="9506" max="9507" width="9.28515625" bestFit="1" customWidth="1"/>
    <col min="9509" max="9509" width="10.28515625" bestFit="1" customWidth="1"/>
    <col min="9510" max="9511" width="9.28515625" bestFit="1" customWidth="1"/>
    <col min="9513" max="9513" width="10.28515625" bestFit="1" customWidth="1"/>
    <col min="9514" max="9515" width="9.28515625" bestFit="1" customWidth="1"/>
    <col min="9517" max="9517" width="10.28515625" bestFit="1" customWidth="1"/>
    <col min="9518" max="9519" width="9.28515625" bestFit="1" customWidth="1"/>
    <col min="9521" max="9521" width="10.28515625" bestFit="1" customWidth="1"/>
    <col min="9522" max="9523" width="9.28515625" bestFit="1" customWidth="1"/>
    <col min="9525" max="9525" width="10.28515625" bestFit="1" customWidth="1"/>
    <col min="9526" max="9527" width="9.28515625" bestFit="1" customWidth="1"/>
    <col min="9529" max="9529" width="10.28515625" bestFit="1" customWidth="1"/>
    <col min="9530" max="9531" width="9.28515625" bestFit="1" customWidth="1"/>
    <col min="9533" max="9533" width="10.28515625" bestFit="1" customWidth="1"/>
    <col min="9534" max="9535" width="9.28515625" bestFit="1" customWidth="1"/>
    <col min="9537" max="9537" width="10.28515625" bestFit="1" customWidth="1"/>
    <col min="9538" max="9539" width="9.28515625" bestFit="1" customWidth="1"/>
    <col min="9541" max="9541" width="10.28515625" bestFit="1" customWidth="1"/>
    <col min="9542" max="9543" width="9.28515625" bestFit="1" customWidth="1"/>
    <col min="9545" max="9545" width="10.28515625" bestFit="1" customWidth="1"/>
    <col min="9546" max="9547" width="9.28515625" bestFit="1" customWidth="1"/>
    <col min="9549" max="9549" width="10.28515625" bestFit="1" customWidth="1"/>
    <col min="9550" max="9551" width="9.28515625" bestFit="1" customWidth="1"/>
    <col min="9553" max="9553" width="10.28515625" bestFit="1" customWidth="1"/>
    <col min="9554" max="9555" width="9.28515625" bestFit="1" customWidth="1"/>
    <col min="9557" max="9557" width="10.28515625" bestFit="1" customWidth="1"/>
    <col min="9558" max="9559" width="9.28515625" bestFit="1" customWidth="1"/>
    <col min="9561" max="9561" width="10.28515625" bestFit="1" customWidth="1"/>
    <col min="9562" max="9563" width="9.28515625" bestFit="1" customWidth="1"/>
    <col min="9565" max="9565" width="10.28515625" bestFit="1" customWidth="1"/>
    <col min="9566" max="9567" width="9.28515625" bestFit="1" customWidth="1"/>
    <col min="9569" max="9569" width="10.28515625" bestFit="1" customWidth="1"/>
    <col min="9570" max="9571" width="9.28515625" bestFit="1" customWidth="1"/>
    <col min="9573" max="9573" width="10.28515625" bestFit="1" customWidth="1"/>
    <col min="9574" max="9575" width="9.28515625" bestFit="1" customWidth="1"/>
    <col min="9577" max="9577" width="10.28515625" bestFit="1" customWidth="1"/>
    <col min="9578" max="9579" width="9.28515625" bestFit="1" customWidth="1"/>
    <col min="9581" max="9581" width="10.28515625" bestFit="1" customWidth="1"/>
    <col min="9582" max="9583" width="9.28515625" bestFit="1" customWidth="1"/>
    <col min="9585" max="9585" width="10.28515625" bestFit="1" customWidth="1"/>
    <col min="9586" max="9587" width="9.28515625" bestFit="1" customWidth="1"/>
    <col min="9589" max="9589" width="10.28515625" bestFit="1" customWidth="1"/>
    <col min="9590" max="9591" width="9.28515625" bestFit="1" customWidth="1"/>
    <col min="9593" max="9593" width="10.28515625" bestFit="1" customWidth="1"/>
    <col min="9594" max="9595" width="9.28515625" bestFit="1" customWidth="1"/>
    <col min="9597" max="9597" width="10.28515625" bestFit="1" customWidth="1"/>
    <col min="9598" max="9599" width="9.28515625" bestFit="1" customWidth="1"/>
    <col min="9601" max="9601" width="10.28515625" bestFit="1" customWidth="1"/>
    <col min="9602" max="9603" width="9.28515625" bestFit="1" customWidth="1"/>
    <col min="9605" max="9605" width="10.28515625" bestFit="1" customWidth="1"/>
    <col min="9606" max="9607" width="9.28515625" bestFit="1" customWidth="1"/>
    <col min="9609" max="9609" width="10.28515625" bestFit="1" customWidth="1"/>
    <col min="9610" max="9611" width="9.28515625" bestFit="1" customWidth="1"/>
    <col min="9613" max="9613" width="10.28515625" bestFit="1" customWidth="1"/>
    <col min="9614" max="9615" width="9.28515625" bestFit="1" customWidth="1"/>
    <col min="9617" max="9617" width="10.28515625" bestFit="1" customWidth="1"/>
    <col min="9618" max="9619" width="9.28515625" bestFit="1" customWidth="1"/>
    <col min="9621" max="9621" width="10.28515625" bestFit="1" customWidth="1"/>
    <col min="9622" max="9623" width="9.28515625" bestFit="1" customWidth="1"/>
    <col min="9625" max="9625" width="10.28515625" bestFit="1" customWidth="1"/>
    <col min="9626" max="9627" width="9.28515625" bestFit="1" customWidth="1"/>
    <col min="9629" max="9629" width="10.28515625" bestFit="1" customWidth="1"/>
    <col min="9630" max="9631" width="9.28515625" bestFit="1" customWidth="1"/>
    <col min="9633" max="9633" width="10.28515625" bestFit="1" customWidth="1"/>
    <col min="9634" max="9635" width="9.28515625" bestFit="1" customWidth="1"/>
    <col min="9637" max="9637" width="10.28515625" bestFit="1" customWidth="1"/>
    <col min="9638" max="9639" width="9.28515625" bestFit="1" customWidth="1"/>
    <col min="9641" max="9641" width="10.28515625" bestFit="1" customWidth="1"/>
    <col min="9642" max="9643" width="9.28515625" bestFit="1" customWidth="1"/>
    <col min="9645" max="9645" width="10.28515625" bestFit="1" customWidth="1"/>
    <col min="9646" max="9647" width="9.28515625" bestFit="1" customWidth="1"/>
    <col min="9649" max="9649" width="10.28515625" bestFit="1" customWidth="1"/>
    <col min="9650" max="9651" width="9.28515625" bestFit="1" customWidth="1"/>
    <col min="9653" max="9653" width="10.28515625" bestFit="1" customWidth="1"/>
    <col min="9654" max="9655" width="9.28515625" bestFit="1" customWidth="1"/>
    <col min="9657" max="9657" width="10.28515625" bestFit="1" customWidth="1"/>
    <col min="9658" max="9659" width="9.28515625" bestFit="1" customWidth="1"/>
    <col min="9661" max="9661" width="10.28515625" bestFit="1" customWidth="1"/>
    <col min="9662" max="9663" width="9.28515625" bestFit="1" customWidth="1"/>
    <col min="9665" max="9665" width="10.28515625" bestFit="1" customWidth="1"/>
    <col min="9666" max="9667" width="9.28515625" bestFit="1" customWidth="1"/>
    <col min="9669" max="9669" width="10.28515625" bestFit="1" customWidth="1"/>
    <col min="9670" max="9671" width="9.28515625" bestFit="1" customWidth="1"/>
    <col min="9673" max="9673" width="10.28515625" bestFit="1" customWidth="1"/>
    <col min="9674" max="9675" width="9.28515625" bestFit="1" customWidth="1"/>
    <col min="9677" max="9677" width="10.28515625" bestFit="1" customWidth="1"/>
    <col min="9678" max="9679" width="9.28515625" bestFit="1" customWidth="1"/>
    <col min="9681" max="9681" width="10.28515625" bestFit="1" customWidth="1"/>
    <col min="9682" max="9683" width="9.28515625" bestFit="1" customWidth="1"/>
    <col min="9685" max="9685" width="10.28515625" bestFit="1" customWidth="1"/>
    <col min="9686" max="9687" width="9.28515625" bestFit="1" customWidth="1"/>
    <col min="9689" max="9689" width="10.28515625" bestFit="1" customWidth="1"/>
    <col min="9690" max="9691" width="9.28515625" bestFit="1" customWidth="1"/>
    <col min="9693" max="9693" width="10.28515625" bestFit="1" customWidth="1"/>
    <col min="9694" max="9695" width="9.28515625" bestFit="1" customWidth="1"/>
    <col min="9697" max="9697" width="10.28515625" bestFit="1" customWidth="1"/>
    <col min="9698" max="9699" width="9.28515625" bestFit="1" customWidth="1"/>
    <col min="9701" max="9701" width="10.28515625" bestFit="1" customWidth="1"/>
    <col min="9702" max="9703" width="9.28515625" bestFit="1" customWidth="1"/>
    <col min="9705" max="9705" width="10.28515625" bestFit="1" customWidth="1"/>
    <col min="9706" max="9707" width="9.28515625" bestFit="1" customWidth="1"/>
    <col min="9709" max="9709" width="10.28515625" bestFit="1" customWidth="1"/>
    <col min="9710" max="9711" width="9.28515625" bestFit="1" customWidth="1"/>
    <col min="9713" max="9713" width="10.28515625" bestFit="1" customWidth="1"/>
    <col min="9714" max="9715" width="9.28515625" bestFit="1" customWidth="1"/>
    <col min="9717" max="9717" width="10.28515625" bestFit="1" customWidth="1"/>
    <col min="9718" max="9719" width="9.28515625" bestFit="1" customWidth="1"/>
    <col min="9721" max="9721" width="10.28515625" bestFit="1" customWidth="1"/>
    <col min="9722" max="9723" width="9.28515625" bestFit="1" customWidth="1"/>
    <col min="9725" max="9725" width="10.28515625" bestFit="1" customWidth="1"/>
    <col min="9726" max="9727" width="9.28515625" bestFit="1" customWidth="1"/>
    <col min="9729" max="9729" width="10.28515625" bestFit="1" customWidth="1"/>
    <col min="9730" max="9731" width="9.28515625" bestFit="1" customWidth="1"/>
    <col min="9733" max="9733" width="10.28515625" bestFit="1" customWidth="1"/>
    <col min="9734" max="9735" width="9.28515625" bestFit="1" customWidth="1"/>
    <col min="9737" max="9737" width="10.28515625" bestFit="1" customWidth="1"/>
    <col min="9738" max="9739" width="9.28515625" bestFit="1" customWidth="1"/>
    <col min="9741" max="9741" width="10.28515625" bestFit="1" customWidth="1"/>
    <col min="9742" max="9743" width="9.28515625" bestFit="1" customWidth="1"/>
    <col min="9745" max="9745" width="10.28515625" bestFit="1" customWidth="1"/>
    <col min="9746" max="9747" width="9.28515625" bestFit="1" customWidth="1"/>
    <col min="9749" max="9749" width="10.28515625" bestFit="1" customWidth="1"/>
    <col min="9750" max="9751" width="9.28515625" bestFit="1" customWidth="1"/>
    <col min="9753" max="9753" width="10.28515625" bestFit="1" customWidth="1"/>
    <col min="9754" max="9755" width="9.28515625" bestFit="1" customWidth="1"/>
    <col min="9757" max="9757" width="10.28515625" bestFit="1" customWidth="1"/>
    <col min="9758" max="9759" width="9.28515625" bestFit="1" customWidth="1"/>
    <col min="9761" max="9761" width="10.28515625" bestFit="1" customWidth="1"/>
    <col min="9762" max="9763" width="9.28515625" bestFit="1" customWidth="1"/>
    <col min="9765" max="9765" width="10.28515625" bestFit="1" customWidth="1"/>
    <col min="9766" max="9767" width="9.28515625" bestFit="1" customWidth="1"/>
    <col min="9769" max="9769" width="10.28515625" bestFit="1" customWidth="1"/>
    <col min="9770" max="9771" width="9.28515625" bestFit="1" customWidth="1"/>
    <col min="9773" max="9773" width="10.28515625" bestFit="1" customWidth="1"/>
    <col min="9774" max="9775" width="9.28515625" bestFit="1" customWidth="1"/>
    <col min="9777" max="9777" width="10.28515625" bestFit="1" customWidth="1"/>
    <col min="9778" max="9779" width="9.28515625" bestFit="1" customWidth="1"/>
    <col min="9781" max="9781" width="10.28515625" bestFit="1" customWidth="1"/>
    <col min="9782" max="9783" width="9.28515625" bestFit="1" customWidth="1"/>
    <col min="9785" max="9785" width="10.28515625" bestFit="1" customWidth="1"/>
    <col min="9786" max="9787" width="9.28515625" bestFit="1" customWidth="1"/>
    <col min="9789" max="9789" width="10.28515625" bestFit="1" customWidth="1"/>
    <col min="9790" max="9791" width="9.28515625" bestFit="1" customWidth="1"/>
    <col min="9793" max="9793" width="10.28515625" bestFit="1" customWidth="1"/>
    <col min="9794" max="9795" width="9.28515625" bestFit="1" customWidth="1"/>
    <col min="9797" max="9797" width="10.28515625" bestFit="1" customWidth="1"/>
    <col min="9798" max="9799" width="9.28515625" bestFit="1" customWidth="1"/>
    <col min="9801" max="9801" width="10.28515625" bestFit="1" customWidth="1"/>
    <col min="9802" max="9803" width="9.28515625" bestFit="1" customWidth="1"/>
    <col min="9805" max="9805" width="10.28515625" bestFit="1" customWidth="1"/>
    <col min="9806" max="9807" width="9.28515625" bestFit="1" customWidth="1"/>
    <col min="9809" max="9809" width="10.28515625" bestFit="1" customWidth="1"/>
    <col min="9810" max="9811" width="9.28515625" bestFit="1" customWidth="1"/>
    <col min="9813" max="9813" width="10.28515625" bestFit="1" customWidth="1"/>
    <col min="9814" max="9815" width="9.28515625" bestFit="1" customWidth="1"/>
    <col min="9817" max="9817" width="10.28515625" bestFit="1" customWidth="1"/>
    <col min="9818" max="9819" width="9.28515625" bestFit="1" customWidth="1"/>
    <col min="9821" max="9821" width="10.28515625" bestFit="1" customWidth="1"/>
    <col min="9822" max="9823" width="9.28515625" bestFit="1" customWidth="1"/>
    <col min="9825" max="9825" width="10.28515625" bestFit="1" customWidth="1"/>
    <col min="9826" max="9827" width="9.28515625" bestFit="1" customWidth="1"/>
    <col min="9829" max="9829" width="10.28515625" bestFit="1" customWidth="1"/>
    <col min="9830" max="9831" width="9.28515625" bestFit="1" customWidth="1"/>
    <col min="9833" max="9833" width="10.28515625" bestFit="1" customWidth="1"/>
    <col min="9834" max="9835" width="9.28515625" bestFit="1" customWidth="1"/>
    <col min="9837" max="9837" width="10.28515625" bestFit="1" customWidth="1"/>
    <col min="9838" max="9839" width="9.28515625" bestFit="1" customWidth="1"/>
    <col min="9841" max="9841" width="10.28515625" bestFit="1" customWidth="1"/>
    <col min="9842" max="9843" width="9.28515625" bestFit="1" customWidth="1"/>
    <col min="9845" max="9845" width="10.28515625" bestFit="1" customWidth="1"/>
    <col min="9846" max="9847" width="9.28515625" bestFit="1" customWidth="1"/>
    <col min="9849" max="9849" width="10.28515625" bestFit="1" customWidth="1"/>
    <col min="9850" max="9851" width="9.28515625" bestFit="1" customWidth="1"/>
    <col min="9853" max="9853" width="10.28515625" bestFit="1" customWidth="1"/>
    <col min="9854" max="9855" width="9.28515625" bestFit="1" customWidth="1"/>
    <col min="9857" max="9857" width="10.28515625" bestFit="1" customWidth="1"/>
    <col min="9858" max="9859" width="9.28515625" bestFit="1" customWidth="1"/>
    <col min="9861" max="9861" width="10.28515625" bestFit="1" customWidth="1"/>
    <col min="9862" max="9863" width="9.28515625" bestFit="1" customWidth="1"/>
    <col min="9865" max="9865" width="10.28515625" bestFit="1" customWidth="1"/>
    <col min="9866" max="9867" width="9.28515625" bestFit="1" customWidth="1"/>
    <col min="9869" max="9869" width="10.28515625" bestFit="1" customWidth="1"/>
    <col min="9870" max="9871" width="9.28515625" bestFit="1" customWidth="1"/>
    <col min="9873" max="9873" width="10.28515625" bestFit="1" customWidth="1"/>
    <col min="9874" max="9875" width="9.28515625" bestFit="1" customWidth="1"/>
    <col min="9877" max="9877" width="10.28515625" bestFit="1" customWidth="1"/>
    <col min="9878" max="9879" width="9.28515625" bestFit="1" customWidth="1"/>
    <col min="9881" max="9881" width="10.28515625" bestFit="1" customWidth="1"/>
    <col min="9882" max="9883" width="9.28515625" bestFit="1" customWidth="1"/>
    <col min="9885" max="9885" width="10.28515625" bestFit="1" customWidth="1"/>
    <col min="9886" max="9887" width="9.28515625" bestFit="1" customWidth="1"/>
    <col min="9889" max="9889" width="10.28515625" bestFit="1" customWidth="1"/>
    <col min="9890" max="9891" width="9.28515625" bestFit="1" customWidth="1"/>
    <col min="9893" max="9893" width="10.28515625" bestFit="1" customWidth="1"/>
    <col min="9894" max="9895" width="9.28515625" bestFit="1" customWidth="1"/>
    <col min="9897" max="9897" width="10.28515625" bestFit="1" customWidth="1"/>
    <col min="9898" max="9899" width="9.28515625" bestFit="1" customWidth="1"/>
    <col min="9901" max="9901" width="10.28515625" bestFit="1" customWidth="1"/>
    <col min="9902" max="9903" width="9.28515625" bestFit="1" customWidth="1"/>
    <col min="9905" max="9905" width="10.28515625" bestFit="1" customWidth="1"/>
    <col min="9906" max="9907" width="9.28515625" bestFit="1" customWidth="1"/>
    <col min="9909" max="9909" width="10.28515625" bestFit="1" customWidth="1"/>
    <col min="9910" max="9911" width="9.28515625" bestFit="1" customWidth="1"/>
    <col min="9913" max="9913" width="10.28515625" bestFit="1" customWidth="1"/>
    <col min="9914" max="9915" width="9.28515625" bestFit="1" customWidth="1"/>
    <col min="9917" max="9917" width="10.28515625" bestFit="1" customWidth="1"/>
    <col min="9918" max="9919" width="9.28515625" bestFit="1" customWidth="1"/>
    <col min="9921" max="9921" width="10.28515625" bestFit="1" customWidth="1"/>
    <col min="9922" max="9923" width="9.28515625" bestFit="1" customWidth="1"/>
    <col min="9925" max="9925" width="10.28515625" bestFit="1" customWidth="1"/>
    <col min="9926" max="9927" width="9.28515625" bestFit="1" customWidth="1"/>
    <col min="9929" max="9929" width="10.28515625" bestFit="1" customWidth="1"/>
    <col min="9930" max="9931" width="9.28515625" bestFit="1" customWidth="1"/>
    <col min="9933" max="9933" width="10.28515625" bestFit="1" customWidth="1"/>
    <col min="9934" max="9935" width="9.28515625" bestFit="1" customWidth="1"/>
    <col min="9937" max="9937" width="10.28515625" bestFit="1" customWidth="1"/>
    <col min="9938" max="9939" width="9.28515625" bestFit="1" customWidth="1"/>
    <col min="9941" max="9941" width="10.28515625" bestFit="1" customWidth="1"/>
    <col min="9942" max="9943" width="9.28515625" bestFit="1" customWidth="1"/>
    <col min="9945" max="9945" width="10.28515625" bestFit="1" customWidth="1"/>
    <col min="9946" max="9947" width="9.28515625" bestFit="1" customWidth="1"/>
    <col min="9949" max="9949" width="10.28515625" bestFit="1" customWidth="1"/>
    <col min="9950" max="9951" width="9.28515625" bestFit="1" customWidth="1"/>
    <col min="9953" max="9953" width="10.28515625" bestFit="1" customWidth="1"/>
    <col min="9954" max="9955" width="9.28515625" bestFit="1" customWidth="1"/>
    <col min="9957" max="9957" width="10.28515625" bestFit="1" customWidth="1"/>
    <col min="9958" max="9959" width="9.28515625" bestFit="1" customWidth="1"/>
    <col min="9961" max="9961" width="10.28515625" bestFit="1" customWidth="1"/>
    <col min="9962" max="9963" width="9.28515625" bestFit="1" customWidth="1"/>
    <col min="9965" max="9965" width="10.28515625" bestFit="1" customWidth="1"/>
    <col min="9966" max="9967" width="9.28515625" bestFit="1" customWidth="1"/>
    <col min="9969" max="9969" width="10.28515625" bestFit="1" customWidth="1"/>
    <col min="9970" max="9971" width="9.28515625" bestFit="1" customWidth="1"/>
    <col min="9973" max="9973" width="10.28515625" bestFit="1" customWidth="1"/>
    <col min="9974" max="9975" width="9.28515625" bestFit="1" customWidth="1"/>
    <col min="9977" max="9977" width="10.28515625" bestFit="1" customWidth="1"/>
    <col min="9978" max="9979" width="9.28515625" bestFit="1" customWidth="1"/>
    <col min="9981" max="9981" width="10.28515625" bestFit="1" customWidth="1"/>
    <col min="9982" max="9983" width="9.28515625" bestFit="1" customWidth="1"/>
    <col min="9985" max="9985" width="10.28515625" bestFit="1" customWidth="1"/>
    <col min="9986" max="9987" width="9.28515625" bestFit="1" customWidth="1"/>
    <col min="9989" max="9989" width="10.28515625" bestFit="1" customWidth="1"/>
    <col min="9990" max="9991" width="9.28515625" bestFit="1" customWidth="1"/>
    <col min="9993" max="9993" width="10.28515625" bestFit="1" customWidth="1"/>
    <col min="9994" max="9995" width="9.28515625" bestFit="1" customWidth="1"/>
    <col min="9997" max="9997" width="10.28515625" bestFit="1" customWidth="1"/>
    <col min="9998" max="9999" width="9.28515625" bestFit="1" customWidth="1"/>
    <col min="10001" max="10001" width="10.28515625" bestFit="1" customWidth="1"/>
    <col min="10002" max="10003" width="9.28515625" bestFit="1" customWidth="1"/>
    <col min="10005" max="10005" width="10.28515625" bestFit="1" customWidth="1"/>
    <col min="10006" max="10007" width="9.28515625" bestFit="1" customWidth="1"/>
    <col min="10009" max="10009" width="10.28515625" bestFit="1" customWidth="1"/>
    <col min="10010" max="10011" width="9.28515625" bestFit="1" customWidth="1"/>
    <col min="10013" max="10013" width="10.28515625" bestFit="1" customWidth="1"/>
    <col min="10014" max="10015" width="9.28515625" bestFit="1" customWidth="1"/>
    <col min="10017" max="10017" width="10.28515625" bestFit="1" customWidth="1"/>
    <col min="10018" max="10019" width="9.28515625" bestFit="1" customWidth="1"/>
    <col min="10021" max="10021" width="10.28515625" bestFit="1" customWidth="1"/>
    <col min="10022" max="10023" width="9.28515625" bestFit="1" customWidth="1"/>
    <col min="10025" max="10025" width="10.28515625" bestFit="1" customWidth="1"/>
    <col min="10026" max="10027" width="9.28515625" bestFit="1" customWidth="1"/>
    <col min="10029" max="10029" width="10.28515625" bestFit="1" customWidth="1"/>
    <col min="10030" max="10031" width="9.28515625" bestFit="1" customWidth="1"/>
    <col min="10033" max="10033" width="10.28515625" bestFit="1" customWidth="1"/>
    <col min="10034" max="10035" width="9.28515625" bestFit="1" customWidth="1"/>
    <col min="10037" max="10037" width="10.28515625" bestFit="1" customWidth="1"/>
    <col min="10038" max="10039" width="9.28515625" bestFit="1" customWidth="1"/>
    <col min="10041" max="10041" width="10.28515625" bestFit="1" customWidth="1"/>
    <col min="10042" max="10043" width="9.28515625" bestFit="1" customWidth="1"/>
    <col min="10045" max="10045" width="10.28515625" bestFit="1" customWidth="1"/>
    <col min="10046" max="10047" width="9.28515625" bestFit="1" customWidth="1"/>
    <col min="10049" max="10049" width="10.28515625" bestFit="1" customWidth="1"/>
    <col min="10050" max="10051" width="9.28515625" bestFit="1" customWidth="1"/>
    <col min="10053" max="10053" width="10.28515625" bestFit="1" customWidth="1"/>
    <col min="10054" max="10055" width="9.28515625" bestFit="1" customWidth="1"/>
    <col min="10057" max="10057" width="10.28515625" bestFit="1" customWidth="1"/>
    <col min="10058" max="10059" width="9.28515625" bestFit="1" customWidth="1"/>
    <col min="10061" max="10061" width="10.28515625" bestFit="1" customWidth="1"/>
    <col min="10062" max="10063" width="9.28515625" bestFit="1" customWidth="1"/>
    <col min="10065" max="10065" width="10.28515625" bestFit="1" customWidth="1"/>
    <col min="10066" max="10067" width="9.28515625" bestFit="1" customWidth="1"/>
    <col min="10069" max="10069" width="10.28515625" bestFit="1" customWidth="1"/>
    <col min="10070" max="10071" width="9.28515625" bestFit="1" customWidth="1"/>
    <col min="10073" max="10073" width="10.28515625" bestFit="1" customWidth="1"/>
    <col min="10074" max="10075" width="9.28515625" bestFit="1" customWidth="1"/>
    <col min="10077" max="10077" width="10.28515625" bestFit="1" customWidth="1"/>
    <col min="10078" max="10079" width="9.28515625" bestFit="1" customWidth="1"/>
    <col min="10081" max="10081" width="10.28515625" bestFit="1" customWidth="1"/>
    <col min="10082" max="10083" width="9.28515625" bestFit="1" customWidth="1"/>
    <col min="10085" max="10085" width="10.28515625" bestFit="1" customWidth="1"/>
    <col min="10086" max="10087" width="9.28515625" bestFit="1" customWidth="1"/>
    <col min="10089" max="10089" width="10.28515625" bestFit="1" customWidth="1"/>
    <col min="10090" max="10091" width="9.28515625" bestFit="1" customWidth="1"/>
    <col min="10093" max="10093" width="10.28515625" bestFit="1" customWidth="1"/>
    <col min="10094" max="10095" width="9.28515625" bestFit="1" customWidth="1"/>
    <col min="10097" max="10097" width="10.28515625" bestFit="1" customWidth="1"/>
    <col min="10098" max="10099" width="9.28515625" bestFit="1" customWidth="1"/>
    <col min="10101" max="10101" width="10.28515625" bestFit="1" customWidth="1"/>
    <col min="10102" max="10103" width="9.28515625" bestFit="1" customWidth="1"/>
    <col min="10105" max="10105" width="10.28515625" bestFit="1" customWidth="1"/>
    <col min="10106" max="10107" width="9.28515625" bestFit="1" customWidth="1"/>
    <col min="10109" max="10109" width="10.28515625" bestFit="1" customWidth="1"/>
    <col min="10110" max="10111" width="9.28515625" bestFit="1" customWidth="1"/>
    <col min="10113" max="10113" width="10.28515625" bestFit="1" customWidth="1"/>
    <col min="10114" max="10115" width="9.28515625" bestFit="1" customWidth="1"/>
    <col min="10117" max="10117" width="10.28515625" bestFit="1" customWidth="1"/>
    <col min="10118" max="10119" width="9.28515625" bestFit="1" customWidth="1"/>
    <col min="10121" max="10121" width="10.28515625" bestFit="1" customWidth="1"/>
    <col min="10122" max="10123" width="9.28515625" bestFit="1" customWidth="1"/>
    <col min="10125" max="10125" width="10.28515625" bestFit="1" customWidth="1"/>
    <col min="10126" max="10127" width="9.28515625" bestFit="1" customWidth="1"/>
    <col min="10129" max="10129" width="10.28515625" bestFit="1" customWidth="1"/>
    <col min="10130" max="10131" width="9.28515625" bestFit="1" customWidth="1"/>
    <col min="10133" max="10133" width="10.28515625" bestFit="1" customWidth="1"/>
    <col min="10134" max="10135" width="9.28515625" bestFit="1" customWidth="1"/>
    <col min="10137" max="10137" width="10.28515625" bestFit="1" customWidth="1"/>
    <col min="10138" max="10139" width="9.28515625" bestFit="1" customWidth="1"/>
    <col min="10141" max="10141" width="10.28515625" bestFit="1" customWidth="1"/>
    <col min="10142" max="10143" width="9.28515625" bestFit="1" customWidth="1"/>
    <col min="10145" max="10145" width="10.28515625" bestFit="1" customWidth="1"/>
    <col min="10146" max="10147" width="9.28515625" bestFit="1" customWidth="1"/>
    <col min="10149" max="10149" width="10.28515625" bestFit="1" customWidth="1"/>
    <col min="10150" max="10151" width="9.28515625" bestFit="1" customWidth="1"/>
    <col min="10153" max="10153" width="10.28515625" bestFit="1" customWidth="1"/>
    <col min="10154" max="10155" width="9.28515625" bestFit="1" customWidth="1"/>
    <col min="10157" max="10157" width="10.28515625" bestFit="1" customWidth="1"/>
    <col min="10158" max="10159" width="9.28515625" bestFit="1" customWidth="1"/>
    <col min="10161" max="10161" width="10.28515625" bestFit="1" customWidth="1"/>
    <col min="10162" max="10163" width="9.28515625" bestFit="1" customWidth="1"/>
    <col min="10165" max="10165" width="10.28515625" bestFit="1" customWidth="1"/>
    <col min="10166" max="10167" width="9.28515625" bestFit="1" customWidth="1"/>
    <col min="10169" max="10169" width="10.28515625" bestFit="1" customWidth="1"/>
    <col min="10170" max="10171" width="9.28515625" bestFit="1" customWidth="1"/>
    <col min="10173" max="10173" width="10.28515625" bestFit="1" customWidth="1"/>
    <col min="10174" max="10175" width="9.28515625" bestFit="1" customWidth="1"/>
    <col min="10177" max="10177" width="10.28515625" bestFit="1" customWidth="1"/>
    <col min="10178" max="10179" width="9.28515625" bestFit="1" customWidth="1"/>
    <col min="10181" max="10181" width="10.28515625" bestFit="1" customWidth="1"/>
    <col min="10182" max="10183" width="9.28515625" bestFit="1" customWidth="1"/>
    <col min="10185" max="10185" width="10.28515625" bestFit="1" customWidth="1"/>
    <col min="10186" max="10187" width="9.28515625" bestFit="1" customWidth="1"/>
    <col min="10189" max="10189" width="10.28515625" bestFit="1" customWidth="1"/>
    <col min="10190" max="10191" width="9.28515625" bestFit="1" customWidth="1"/>
    <col min="10193" max="10193" width="10.28515625" bestFit="1" customWidth="1"/>
    <col min="10194" max="10195" width="9.28515625" bestFit="1" customWidth="1"/>
    <col min="10197" max="10197" width="10.28515625" bestFit="1" customWidth="1"/>
    <col min="10198" max="10199" width="9.28515625" bestFit="1" customWidth="1"/>
    <col min="10201" max="10201" width="10.28515625" bestFit="1" customWidth="1"/>
    <col min="10202" max="10203" width="9.28515625" bestFit="1" customWidth="1"/>
    <col min="10205" max="10205" width="10.28515625" bestFit="1" customWidth="1"/>
    <col min="10206" max="10207" width="9.28515625" bestFit="1" customWidth="1"/>
    <col min="10209" max="10209" width="10.28515625" bestFit="1" customWidth="1"/>
    <col min="10210" max="10211" width="9.28515625" bestFit="1" customWidth="1"/>
    <col min="10213" max="10213" width="10.28515625" bestFit="1" customWidth="1"/>
    <col min="10214" max="10215" width="9.28515625" bestFit="1" customWidth="1"/>
    <col min="10217" max="10217" width="10.28515625" bestFit="1" customWidth="1"/>
    <col min="10218" max="10219" width="9.28515625" bestFit="1" customWidth="1"/>
    <col min="10221" max="10221" width="10.28515625" bestFit="1" customWidth="1"/>
    <col min="10222" max="10223" width="9.28515625" bestFit="1" customWidth="1"/>
    <col min="10225" max="10225" width="10.28515625" bestFit="1" customWidth="1"/>
    <col min="10226" max="10227" width="9.28515625" bestFit="1" customWidth="1"/>
    <col min="10229" max="10229" width="10.28515625" bestFit="1" customWidth="1"/>
    <col min="10230" max="10231" width="9.28515625" bestFit="1" customWidth="1"/>
    <col min="10233" max="10233" width="10.28515625" bestFit="1" customWidth="1"/>
    <col min="10234" max="10235" width="9.28515625" bestFit="1" customWidth="1"/>
    <col min="10237" max="10237" width="10.28515625" bestFit="1" customWidth="1"/>
    <col min="10238" max="10239" width="9.28515625" bestFit="1" customWidth="1"/>
    <col min="10241" max="10241" width="10.28515625" bestFit="1" customWidth="1"/>
    <col min="10242" max="10243" width="9.28515625" bestFit="1" customWidth="1"/>
    <col min="10245" max="10245" width="10.28515625" bestFit="1" customWidth="1"/>
    <col min="10246" max="10247" width="9.28515625" bestFit="1" customWidth="1"/>
    <col min="10249" max="10249" width="10.28515625" bestFit="1" customWidth="1"/>
    <col min="10250" max="10251" width="9.28515625" bestFit="1" customWidth="1"/>
    <col min="10253" max="10253" width="10.28515625" bestFit="1" customWidth="1"/>
    <col min="10254" max="10255" width="9.28515625" bestFit="1" customWidth="1"/>
    <col min="10257" max="10257" width="10.28515625" bestFit="1" customWidth="1"/>
    <col min="10258" max="10259" width="9.28515625" bestFit="1" customWidth="1"/>
    <col min="10261" max="10261" width="10.28515625" bestFit="1" customWidth="1"/>
    <col min="10262" max="10263" width="9.28515625" bestFit="1" customWidth="1"/>
    <col min="10265" max="10265" width="10.28515625" bestFit="1" customWidth="1"/>
    <col min="10266" max="10267" width="9.28515625" bestFit="1" customWidth="1"/>
    <col min="10269" max="10269" width="10.28515625" bestFit="1" customWidth="1"/>
    <col min="10270" max="10271" width="9.28515625" bestFit="1" customWidth="1"/>
    <col min="10273" max="10273" width="10.28515625" bestFit="1" customWidth="1"/>
    <col min="10274" max="10275" width="9.28515625" bestFit="1" customWidth="1"/>
    <col min="10277" max="10277" width="10.28515625" bestFit="1" customWidth="1"/>
    <col min="10278" max="10279" width="9.28515625" bestFit="1" customWidth="1"/>
    <col min="10281" max="10281" width="10.28515625" bestFit="1" customWidth="1"/>
    <col min="10282" max="10283" width="9.28515625" bestFit="1" customWidth="1"/>
    <col min="10285" max="10285" width="10.28515625" bestFit="1" customWidth="1"/>
    <col min="10286" max="10287" width="9.28515625" bestFit="1" customWidth="1"/>
    <col min="10289" max="10289" width="10.28515625" bestFit="1" customWidth="1"/>
    <col min="10290" max="10291" width="9.28515625" bestFit="1" customWidth="1"/>
    <col min="10293" max="10293" width="10.28515625" bestFit="1" customWidth="1"/>
    <col min="10294" max="10295" width="9.28515625" bestFit="1" customWidth="1"/>
    <col min="10297" max="10297" width="10.28515625" bestFit="1" customWidth="1"/>
    <col min="10298" max="10299" width="9.28515625" bestFit="1" customWidth="1"/>
    <col min="10301" max="10301" width="10.28515625" bestFit="1" customWidth="1"/>
    <col min="10302" max="10303" width="9.28515625" bestFit="1" customWidth="1"/>
    <col min="10305" max="10305" width="10.28515625" bestFit="1" customWidth="1"/>
    <col min="10306" max="10307" width="9.28515625" bestFit="1" customWidth="1"/>
    <col min="10309" max="10309" width="10.28515625" bestFit="1" customWidth="1"/>
    <col min="10310" max="10311" width="9.28515625" bestFit="1" customWidth="1"/>
    <col min="10313" max="10313" width="10.28515625" bestFit="1" customWidth="1"/>
    <col min="10314" max="10315" width="9.28515625" bestFit="1" customWidth="1"/>
    <col min="10317" max="10317" width="10.28515625" bestFit="1" customWidth="1"/>
    <col min="10318" max="10319" width="9.28515625" bestFit="1" customWidth="1"/>
    <col min="10321" max="10321" width="10.28515625" bestFit="1" customWidth="1"/>
    <col min="10322" max="10323" width="9.28515625" bestFit="1" customWidth="1"/>
    <col min="10325" max="10325" width="10.28515625" bestFit="1" customWidth="1"/>
    <col min="10326" max="10327" width="9.28515625" bestFit="1" customWidth="1"/>
    <col min="10329" max="10329" width="10.28515625" bestFit="1" customWidth="1"/>
    <col min="10330" max="10331" width="9.28515625" bestFit="1" customWidth="1"/>
    <col min="10333" max="10333" width="10.28515625" bestFit="1" customWidth="1"/>
    <col min="10334" max="10335" width="9.28515625" bestFit="1" customWidth="1"/>
    <col min="10337" max="10337" width="10.28515625" bestFit="1" customWidth="1"/>
    <col min="10338" max="10339" width="9.28515625" bestFit="1" customWidth="1"/>
    <col min="10341" max="10341" width="10.28515625" bestFit="1" customWidth="1"/>
    <col min="10342" max="10343" width="9.28515625" bestFit="1" customWidth="1"/>
    <col min="10345" max="10345" width="10.28515625" bestFit="1" customWidth="1"/>
    <col min="10346" max="10347" width="9.28515625" bestFit="1" customWidth="1"/>
    <col min="10349" max="10349" width="10.28515625" bestFit="1" customWidth="1"/>
    <col min="10350" max="10351" width="9.28515625" bestFit="1" customWidth="1"/>
    <col min="10353" max="10353" width="10.28515625" bestFit="1" customWidth="1"/>
    <col min="10354" max="10355" width="9.28515625" bestFit="1" customWidth="1"/>
    <col min="10357" max="10357" width="10.28515625" bestFit="1" customWidth="1"/>
    <col min="10358" max="10359" width="9.28515625" bestFit="1" customWidth="1"/>
    <col min="10361" max="10361" width="10.28515625" bestFit="1" customWidth="1"/>
    <col min="10362" max="10363" width="9.28515625" bestFit="1" customWidth="1"/>
    <col min="10365" max="10365" width="10.28515625" bestFit="1" customWidth="1"/>
    <col min="10366" max="10367" width="9.28515625" bestFit="1" customWidth="1"/>
    <col min="10369" max="10369" width="10.28515625" bestFit="1" customWidth="1"/>
    <col min="10370" max="10371" width="9.28515625" bestFit="1" customWidth="1"/>
    <col min="10373" max="10373" width="10.28515625" bestFit="1" customWidth="1"/>
    <col min="10374" max="10375" width="9.28515625" bestFit="1" customWidth="1"/>
    <col min="10377" max="10377" width="10.28515625" bestFit="1" customWidth="1"/>
    <col min="10378" max="10379" width="9.28515625" bestFit="1" customWidth="1"/>
    <col min="10381" max="10381" width="10.28515625" bestFit="1" customWidth="1"/>
    <col min="10382" max="10383" width="9.28515625" bestFit="1" customWidth="1"/>
    <col min="10385" max="10385" width="10.28515625" bestFit="1" customWidth="1"/>
    <col min="10386" max="10387" width="9.28515625" bestFit="1" customWidth="1"/>
    <col min="10389" max="10389" width="10.28515625" bestFit="1" customWidth="1"/>
    <col min="10390" max="10391" width="9.28515625" bestFit="1" customWidth="1"/>
    <col min="10393" max="10393" width="10.28515625" bestFit="1" customWidth="1"/>
    <col min="10394" max="10395" width="9.28515625" bestFit="1" customWidth="1"/>
    <col min="10397" max="10397" width="10.28515625" bestFit="1" customWidth="1"/>
    <col min="10398" max="10399" width="9.28515625" bestFit="1" customWidth="1"/>
    <col min="10401" max="10401" width="10.28515625" bestFit="1" customWidth="1"/>
    <col min="10402" max="10403" width="9.28515625" bestFit="1" customWidth="1"/>
    <col min="10405" max="10405" width="10.28515625" bestFit="1" customWidth="1"/>
    <col min="10406" max="10407" width="9.28515625" bestFit="1" customWidth="1"/>
    <col min="10409" max="10409" width="10.28515625" bestFit="1" customWidth="1"/>
    <col min="10410" max="10411" width="9.28515625" bestFit="1" customWidth="1"/>
    <col min="10413" max="10413" width="10.28515625" bestFit="1" customWidth="1"/>
    <col min="10414" max="10415" width="9.28515625" bestFit="1" customWidth="1"/>
    <col min="10417" max="10417" width="10.28515625" bestFit="1" customWidth="1"/>
    <col min="10418" max="10419" width="9.28515625" bestFit="1" customWidth="1"/>
    <col min="10421" max="10421" width="10.28515625" bestFit="1" customWidth="1"/>
    <col min="10422" max="10423" width="9.28515625" bestFit="1" customWidth="1"/>
    <col min="10425" max="10425" width="10.28515625" bestFit="1" customWidth="1"/>
    <col min="10426" max="10427" width="9.28515625" bestFit="1" customWidth="1"/>
    <col min="10429" max="10429" width="10.28515625" bestFit="1" customWidth="1"/>
    <col min="10430" max="10431" width="9.28515625" bestFit="1" customWidth="1"/>
    <col min="10433" max="10433" width="10.28515625" bestFit="1" customWidth="1"/>
    <col min="10434" max="10435" width="9.28515625" bestFit="1" customWidth="1"/>
    <col min="10437" max="10437" width="10.28515625" bestFit="1" customWidth="1"/>
    <col min="10438" max="10439" width="9.28515625" bestFit="1" customWidth="1"/>
    <col min="10441" max="10441" width="10.28515625" bestFit="1" customWidth="1"/>
    <col min="10442" max="10443" width="9.28515625" bestFit="1" customWidth="1"/>
    <col min="10445" max="10445" width="10.28515625" bestFit="1" customWidth="1"/>
    <col min="10446" max="10447" width="9.28515625" bestFit="1" customWidth="1"/>
    <col min="10449" max="10449" width="10.28515625" bestFit="1" customWidth="1"/>
    <col min="10450" max="10451" width="9.28515625" bestFit="1" customWidth="1"/>
    <col min="10453" max="10453" width="10.28515625" bestFit="1" customWidth="1"/>
    <col min="10454" max="10455" width="9.28515625" bestFit="1" customWidth="1"/>
    <col min="10457" max="10457" width="10.28515625" bestFit="1" customWidth="1"/>
    <col min="10458" max="10459" width="9.28515625" bestFit="1" customWidth="1"/>
    <col min="10461" max="10461" width="10.28515625" bestFit="1" customWidth="1"/>
    <col min="10462" max="10463" width="9.28515625" bestFit="1" customWidth="1"/>
    <col min="10465" max="10465" width="10.28515625" bestFit="1" customWidth="1"/>
    <col min="10466" max="10467" width="9.28515625" bestFit="1" customWidth="1"/>
    <col min="10469" max="10469" width="10.28515625" bestFit="1" customWidth="1"/>
    <col min="10470" max="10471" width="9.28515625" bestFit="1" customWidth="1"/>
    <col min="10473" max="10473" width="10.28515625" bestFit="1" customWidth="1"/>
    <col min="10474" max="10475" width="9.28515625" bestFit="1" customWidth="1"/>
    <col min="10477" max="10477" width="10.28515625" bestFit="1" customWidth="1"/>
    <col min="10478" max="10479" width="9.28515625" bestFit="1" customWidth="1"/>
    <col min="10481" max="10481" width="10.28515625" bestFit="1" customWidth="1"/>
    <col min="10482" max="10483" width="9.28515625" bestFit="1" customWidth="1"/>
    <col min="10485" max="10485" width="10.28515625" bestFit="1" customWidth="1"/>
    <col min="10486" max="10487" width="9.28515625" bestFit="1" customWidth="1"/>
    <col min="10489" max="10489" width="10.28515625" bestFit="1" customWidth="1"/>
    <col min="10490" max="10491" width="9.28515625" bestFit="1" customWidth="1"/>
    <col min="10493" max="10493" width="10.28515625" bestFit="1" customWidth="1"/>
    <col min="10494" max="10495" width="9.28515625" bestFit="1" customWidth="1"/>
    <col min="10497" max="10497" width="10.28515625" bestFit="1" customWidth="1"/>
    <col min="10498" max="10499" width="9.28515625" bestFit="1" customWidth="1"/>
    <col min="10501" max="10501" width="10.28515625" bestFit="1" customWidth="1"/>
    <col min="10502" max="10503" width="9.28515625" bestFit="1" customWidth="1"/>
    <col min="10505" max="10505" width="10.28515625" bestFit="1" customWidth="1"/>
    <col min="10506" max="10507" width="9.28515625" bestFit="1" customWidth="1"/>
    <col min="10509" max="10509" width="10.28515625" bestFit="1" customWidth="1"/>
    <col min="10510" max="10511" width="9.28515625" bestFit="1" customWidth="1"/>
    <col min="10513" max="10513" width="10.28515625" bestFit="1" customWidth="1"/>
    <col min="10514" max="10515" width="9.28515625" bestFit="1" customWidth="1"/>
    <col min="10517" max="10517" width="10.28515625" bestFit="1" customWidth="1"/>
    <col min="10518" max="10519" width="9.28515625" bestFit="1" customWidth="1"/>
    <col min="10521" max="10521" width="10.28515625" bestFit="1" customWidth="1"/>
    <col min="10522" max="10523" width="9.28515625" bestFit="1" customWidth="1"/>
    <col min="10525" max="10525" width="10.28515625" bestFit="1" customWidth="1"/>
    <col min="10526" max="10527" width="9.28515625" bestFit="1" customWidth="1"/>
    <col min="10529" max="10529" width="10.28515625" bestFit="1" customWidth="1"/>
    <col min="10530" max="10531" width="9.28515625" bestFit="1" customWidth="1"/>
    <col min="10533" max="10533" width="10.28515625" bestFit="1" customWidth="1"/>
    <col min="10534" max="10535" width="9.28515625" bestFit="1" customWidth="1"/>
    <col min="10537" max="10537" width="10.28515625" bestFit="1" customWidth="1"/>
    <col min="10538" max="10539" width="9.28515625" bestFit="1" customWidth="1"/>
    <col min="10541" max="10541" width="10.28515625" bestFit="1" customWidth="1"/>
    <col min="10542" max="10543" width="9.28515625" bestFit="1" customWidth="1"/>
    <col min="10545" max="10545" width="10.28515625" bestFit="1" customWidth="1"/>
    <col min="10546" max="10547" width="9.28515625" bestFit="1" customWidth="1"/>
    <col min="10549" max="10549" width="10.28515625" bestFit="1" customWidth="1"/>
    <col min="10550" max="10551" width="9.28515625" bestFit="1" customWidth="1"/>
    <col min="10553" max="10553" width="10.28515625" bestFit="1" customWidth="1"/>
    <col min="10554" max="10555" width="9.28515625" bestFit="1" customWidth="1"/>
    <col min="10557" max="10557" width="10.28515625" bestFit="1" customWidth="1"/>
    <col min="10558" max="10559" width="9.28515625" bestFit="1" customWidth="1"/>
    <col min="10561" max="10561" width="10.28515625" bestFit="1" customWidth="1"/>
    <col min="10562" max="10563" width="9.28515625" bestFit="1" customWidth="1"/>
    <col min="10565" max="10565" width="10.28515625" bestFit="1" customWidth="1"/>
    <col min="10566" max="10567" width="9.28515625" bestFit="1" customWidth="1"/>
    <col min="10569" max="10569" width="10.28515625" bestFit="1" customWidth="1"/>
    <col min="10570" max="10571" width="9.28515625" bestFit="1" customWidth="1"/>
    <col min="10573" max="10573" width="10.28515625" bestFit="1" customWidth="1"/>
    <col min="10574" max="10575" width="9.28515625" bestFit="1" customWidth="1"/>
    <col min="10577" max="10577" width="10.28515625" bestFit="1" customWidth="1"/>
    <col min="10578" max="10579" width="9.28515625" bestFit="1" customWidth="1"/>
    <col min="10581" max="10581" width="10.28515625" bestFit="1" customWidth="1"/>
    <col min="10582" max="10583" width="9.28515625" bestFit="1" customWidth="1"/>
    <col min="10585" max="10585" width="10.28515625" bestFit="1" customWidth="1"/>
    <col min="10586" max="10587" width="9.28515625" bestFit="1" customWidth="1"/>
    <col min="10589" max="10589" width="10.28515625" bestFit="1" customWidth="1"/>
    <col min="10590" max="10591" width="9.28515625" bestFit="1" customWidth="1"/>
    <col min="10593" max="10593" width="10.28515625" bestFit="1" customWidth="1"/>
    <col min="10594" max="10595" width="9.28515625" bestFit="1" customWidth="1"/>
    <col min="10597" max="10597" width="10.28515625" bestFit="1" customWidth="1"/>
    <col min="10598" max="10599" width="9.28515625" bestFit="1" customWidth="1"/>
    <col min="10601" max="10601" width="10.28515625" bestFit="1" customWidth="1"/>
    <col min="10602" max="10603" width="9.28515625" bestFit="1" customWidth="1"/>
    <col min="10605" max="10605" width="10.28515625" bestFit="1" customWidth="1"/>
    <col min="10606" max="10607" width="9.28515625" bestFit="1" customWidth="1"/>
    <col min="10609" max="10609" width="10.28515625" bestFit="1" customWidth="1"/>
    <col min="10610" max="10611" width="9.28515625" bestFit="1" customWidth="1"/>
    <col min="10613" max="10613" width="10.28515625" bestFit="1" customWidth="1"/>
    <col min="10614" max="10615" width="9.28515625" bestFit="1" customWidth="1"/>
    <col min="10617" max="10617" width="10.28515625" bestFit="1" customWidth="1"/>
    <col min="10618" max="10619" width="9.28515625" bestFit="1" customWidth="1"/>
    <col min="10621" max="10621" width="10.28515625" bestFit="1" customWidth="1"/>
    <col min="10622" max="10623" width="9.28515625" bestFit="1" customWidth="1"/>
    <col min="10625" max="10625" width="10.28515625" bestFit="1" customWidth="1"/>
    <col min="10626" max="10627" width="9.28515625" bestFit="1" customWidth="1"/>
    <col min="10629" max="10629" width="10.28515625" bestFit="1" customWidth="1"/>
    <col min="10630" max="10631" width="9.28515625" bestFit="1" customWidth="1"/>
    <col min="10633" max="10633" width="10.28515625" bestFit="1" customWidth="1"/>
    <col min="10634" max="10635" width="9.28515625" bestFit="1" customWidth="1"/>
    <col min="10637" max="10637" width="10.28515625" bestFit="1" customWidth="1"/>
    <col min="10638" max="10639" width="9.28515625" bestFit="1" customWidth="1"/>
    <col min="10641" max="10641" width="10.28515625" bestFit="1" customWidth="1"/>
    <col min="10642" max="10643" width="9.28515625" bestFit="1" customWidth="1"/>
    <col min="10645" max="10645" width="10.28515625" bestFit="1" customWidth="1"/>
    <col min="10646" max="10647" width="9.28515625" bestFit="1" customWidth="1"/>
    <col min="10649" max="10649" width="10.28515625" bestFit="1" customWidth="1"/>
    <col min="10650" max="10651" width="9.28515625" bestFit="1" customWidth="1"/>
    <col min="10653" max="10653" width="10.28515625" bestFit="1" customWidth="1"/>
    <col min="10654" max="10655" width="9.28515625" bestFit="1" customWidth="1"/>
    <col min="10657" max="10657" width="10.28515625" bestFit="1" customWidth="1"/>
    <col min="10658" max="10659" width="9.28515625" bestFit="1" customWidth="1"/>
    <col min="10661" max="10661" width="10.28515625" bestFit="1" customWidth="1"/>
    <col min="10662" max="10663" width="9.28515625" bestFit="1" customWidth="1"/>
    <col min="10665" max="10665" width="10.28515625" bestFit="1" customWidth="1"/>
    <col min="10666" max="10667" width="9.28515625" bestFit="1" customWidth="1"/>
    <col min="10669" max="10669" width="10.28515625" bestFit="1" customWidth="1"/>
    <col min="10670" max="10671" width="9.28515625" bestFit="1" customWidth="1"/>
    <col min="10673" max="10673" width="10.28515625" bestFit="1" customWidth="1"/>
    <col min="10674" max="10675" width="9.28515625" bestFit="1" customWidth="1"/>
    <col min="10677" max="10677" width="10.28515625" bestFit="1" customWidth="1"/>
    <col min="10678" max="10679" width="9.28515625" bestFit="1" customWidth="1"/>
    <col min="10681" max="10681" width="10.28515625" bestFit="1" customWidth="1"/>
    <col min="10682" max="10683" width="9.28515625" bestFit="1" customWidth="1"/>
    <col min="10685" max="10685" width="10.28515625" bestFit="1" customWidth="1"/>
    <col min="10686" max="10687" width="9.28515625" bestFit="1" customWidth="1"/>
    <col min="10689" max="10689" width="10.28515625" bestFit="1" customWidth="1"/>
    <col min="10690" max="10691" width="9.28515625" bestFit="1" customWidth="1"/>
    <col min="10693" max="10693" width="10.28515625" bestFit="1" customWidth="1"/>
    <col min="10694" max="10695" width="9.28515625" bestFit="1" customWidth="1"/>
    <col min="10697" max="10697" width="10.28515625" bestFit="1" customWidth="1"/>
    <col min="10698" max="10699" width="9.28515625" bestFit="1" customWidth="1"/>
    <col min="10701" max="10701" width="10.28515625" bestFit="1" customWidth="1"/>
    <col min="10702" max="10703" width="9.28515625" bestFit="1" customWidth="1"/>
    <col min="10705" max="10705" width="10.28515625" bestFit="1" customWidth="1"/>
    <col min="10706" max="10707" width="9.28515625" bestFit="1" customWidth="1"/>
    <col min="10709" max="10709" width="10.28515625" bestFit="1" customWidth="1"/>
    <col min="10710" max="10711" width="9.28515625" bestFit="1" customWidth="1"/>
    <col min="10713" max="10713" width="10.28515625" bestFit="1" customWidth="1"/>
    <col min="10714" max="10715" width="9.28515625" bestFit="1" customWidth="1"/>
    <col min="10717" max="10717" width="10.28515625" bestFit="1" customWidth="1"/>
    <col min="10718" max="10719" width="9.28515625" bestFit="1" customWidth="1"/>
    <col min="10721" max="10721" width="10.28515625" bestFit="1" customWidth="1"/>
    <col min="10722" max="10723" width="9.28515625" bestFit="1" customWidth="1"/>
    <col min="10725" max="10725" width="10.28515625" bestFit="1" customWidth="1"/>
    <col min="10726" max="10727" width="9.28515625" bestFit="1" customWidth="1"/>
    <col min="10729" max="10729" width="10.28515625" bestFit="1" customWidth="1"/>
    <col min="10730" max="10731" width="9.28515625" bestFit="1" customWidth="1"/>
    <col min="10733" max="10733" width="10.28515625" bestFit="1" customWidth="1"/>
    <col min="10734" max="10735" width="9.28515625" bestFit="1" customWidth="1"/>
    <col min="10737" max="10737" width="10.28515625" bestFit="1" customWidth="1"/>
    <col min="10738" max="10739" width="9.28515625" bestFit="1" customWidth="1"/>
    <col min="10741" max="10741" width="10.28515625" bestFit="1" customWidth="1"/>
    <col min="10742" max="10743" width="9.28515625" bestFit="1" customWidth="1"/>
    <col min="10745" max="10745" width="10.28515625" bestFit="1" customWidth="1"/>
    <col min="10746" max="10747" width="9.28515625" bestFit="1" customWidth="1"/>
    <col min="10749" max="10749" width="10.28515625" bestFit="1" customWidth="1"/>
    <col min="10750" max="10751" width="9.28515625" bestFit="1" customWidth="1"/>
    <col min="10753" max="10753" width="10.28515625" bestFit="1" customWidth="1"/>
    <col min="10754" max="10755" width="9.28515625" bestFit="1" customWidth="1"/>
    <col min="10757" max="10757" width="10.28515625" bestFit="1" customWidth="1"/>
    <col min="10758" max="10759" width="9.28515625" bestFit="1" customWidth="1"/>
    <col min="10761" max="10761" width="10.28515625" bestFit="1" customWidth="1"/>
    <col min="10762" max="10763" width="9.28515625" bestFit="1" customWidth="1"/>
    <col min="10765" max="10765" width="10.28515625" bestFit="1" customWidth="1"/>
    <col min="10766" max="10767" width="9.28515625" bestFit="1" customWidth="1"/>
    <col min="10769" max="10769" width="10.28515625" bestFit="1" customWidth="1"/>
    <col min="10770" max="10771" width="9.28515625" bestFit="1" customWidth="1"/>
    <col min="10773" max="10773" width="10.28515625" bestFit="1" customWidth="1"/>
    <col min="10774" max="10775" width="9.28515625" bestFit="1" customWidth="1"/>
    <col min="10777" max="10777" width="10.28515625" bestFit="1" customWidth="1"/>
    <col min="10778" max="10779" width="9.28515625" bestFit="1" customWidth="1"/>
    <col min="10781" max="10781" width="10.28515625" bestFit="1" customWidth="1"/>
    <col min="10782" max="10783" width="9.28515625" bestFit="1" customWidth="1"/>
    <col min="10785" max="10785" width="10.28515625" bestFit="1" customWidth="1"/>
    <col min="10786" max="10787" width="9.28515625" bestFit="1" customWidth="1"/>
    <col min="10789" max="10789" width="10.28515625" bestFit="1" customWidth="1"/>
    <col min="10790" max="10791" width="9.28515625" bestFit="1" customWidth="1"/>
    <col min="10793" max="10793" width="10.28515625" bestFit="1" customWidth="1"/>
    <col min="10794" max="10795" width="9.28515625" bestFit="1" customWidth="1"/>
    <col min="10797" max="10797" width="10.28515625" bestFit="1" customWidth="1"/>
    <col min="10798" max="10799" width="9.28515625" bestFit="1" customWidth="1"/>
    <col min="10801" max="10801" width="10.28515625" bestFit="1" customWidth="1"/>
    <col min="10802" max="10803" width="9.28515625" bestFit="1" customWidth="1"/>
    <col min="10805" max="10805" width="10.28515625" bestFit="1" customWidth="1"/>
    <col min="10806" max="10807" width="9.28515625" bestFit="1" customWidth="1"/>
    <col min="10809" max="10809" width="10.28515625" bestFit="1" customWidth="1"/>
    <col min="10810" max="10811" width="9.28515625" bestFit="1" customWidth="1"/>
    <col min="10813" max="10813" width="10.28515625" bestFit="1" customWidth="1"/>
    <col min="10814" max="10815" width="9.28515625" bestFit="1" customWidth="1"/>
    <col min="10817" max="10817" width="10.28515625" bestFit="1" customWidth="1"/>
    <col min="10818" max="10819" width="9.28515625" bestFit="1" customWidth="1"/>
    <col min="10821" max="10821" width="10.28515625" bestFit="1" customWidth="1"/>
    <col min="10822" max="10823" width="9.28515625" bestFit="1" customWidth="1"/>
    <col min="10825" max="10825" width="10.28515625" bestFit="1" customWidth="1"/>
    <col min="10826" max="10827" width="9.28515625" bestFit="1" customWidth="1"/>
    <col min="10829" max="10829" width="10.28515625" bestFit="1" customWidth="1"/>
    <col min="10830" max="10831" width="9.28515625" bestFit="1" customWidth="1"/>
    <col min="10833" max="10833" width="10.28515625" bestFit="1" customWidth="1"/>
    <col min="10834" max="10835" width="9.28515625" bestFit="1" customWidth="1"/>
    <col min="10837" max="10837" width="10.28515625" bestFit="1" customWidth="1"/>
    <col min="10838" max="10839" width="9.28515625" bestFit="1" customWidth="1"/>
    <col min="10841" max="10841" width="10.28515625" bestFit="1" customWidth="1"/>
    <col min="10842" max="10843" width="9.28515625" bestFit="1" customWidth="1"/>
    <col min="10845" max="10845" width="10.28515625" bestFit="1" customWidth="1"/>
    <col min="10846" max="10847" width="9.28515625" bestFit="1" customWidth="1"/>
    <col min="10849" max="10849" width="10.28515625" bestFit="1" customWidth="1"/>
    <col min="10850" max="10851" width="9.28515625" bestFit="1" customWidth="1"/>
    <col min="10853" max="10853" width="10.28515625" bestFit="1" customWidth="1"/>
    <col min="10854" max="10855" width="9.28515625" bestFit="1" customWidth="1"/>
    <col min="10857" max="10857" width="10.28515625" bestFit="1" customWidth="1"/>
    <col min="10858" max="10859" width="9.28515625" bestFit="1" customWidth="1"/>
    <col min="10861" max="10861" width="10.28515625" bestFit="1" customWidth="1"/>
    <col min="10862" max="10863" width="9.28515625" bestFit="1" customWidth="1"/>
    <col min="10865" max="10865" width="10.28515625" bestFit="1" customWidth="1"/>
    <col min="10866" max="10867" width="9.28515625" bestFit="1" customWidth="1"/>
    <col min="10869" max="10869" width="10.28515625" bestFit="1" customWidth="1"/>
    <col min="10870" max="10871" width="9.28515625" bestFit="1" customWidth="1"/>
    <col min="10873" max="10873" width="10.28515625" bestFit="1" customWidth="1"/>
    <col min="10874" max="10875" width="9.28515625" bestFit="1" customWidth="1"/>
    <col min="10877" max="10877" width="10.28515625" bestFit="1" customWidth="1"/>
    <col min="10878" max="10879" width="9.28515625" bestFit="1" customWidth="1"/>
    <col min="10881" max="10881" width="10.28515625" bestFit="1" customWidth="1"/>
    <col min="10882" max="10883" width="9.28515625" bestFit="1" customWidth="1"/>
    <col min="10885" max="10885" width="10.28515625" bestFit="1" customWidth="1"/>
    <col min="10886" max="10887" width="9.28515625" bestFit="1" customWidth="1"/>
    <col min="10889" max="10889" width="10.28515625" bestFit="1" customWidth="1"/>
    <col min="10890" max="10891" width="9.28515625" bestFit="1" customWidth="1"/>
    <col min="10893" max="10893" width="10.28515625" bestFit="1" customWidth="1"/>
    <col min="10894" max="10895" width="9.28515625" bestFit="1" customWidth="1"/>
    <col min="10897" max="10897" width="10.28515625" bestFit="1" customWidth="1"/>
    <col min="10898" max="10899" width="9.28515625" bestFit="1" customWidth="1"/>
    <col min="10901" max="10901" width="10.28515625" bestFit="1" customWidth="1"/>
    <col min="10902" max="10903" width="9.28515625" bestFit="1" customWidth="1"/>
    <col min="10905" max="10905" width="10.28515625" bestFit="1" customWidth="1"/>
    <col min="10906" max="10907" width="9.28515625" bestFit="1" customWidth="1"/>
    <col min="10909" max="10909" width="10.28515625" bestFit="1" customWidth="1"/>
    <col min="10910" max="10911" width="9.28515625" bestFit="1" customWidth="1"/>
    <col min="10913" max="10913" width="10.28515625" bestFit="1" customWidth="1"/>
    <col min="10914" max="10915" width="9.28515625" bestFit="1" customWidth="1"/>
    <col min="10917" max="10917" width="10.28515625" bestFit="1" customWidth="1"/>
    <col min="10918" max="10919" width="9.28515625" bestFit="1" customWidth="1"/>
    <col min="10921" max="10921" width="10.28515625" bestFit="1" customWidth="1"/>
    <col min="10922" max="10923" width="9.28515625" bestFit="1" customWidth="1"/>
    <col min="10925" max="10925" width="10.28515625" bestFit="1" customWidth="1"/>
    <col min="10926" max="10927" width="9.28515625" bestFit="1" customWidth="1"/>
    <col min="10929" max="10929" width="10.28515625" bestFit="1" customWidth="1"/>
    <col min="10930" max="10931" width="9.28515625" bestFit="1" customWidth="1"/>
    <col min="10933" max="10933" width="10.28515625" bestFit="1" customWidth="1"/>
    <col min="10934" max="10935" width="9.28515625" bestFit="1" customWidth="1"/>
    <col min="10937" max="10937" width="10.28515625" bestFit="1" customWidth="1"/>
    <col min="10938" max="10939" width="9.28515625" bestFit="1" customWidth="1"/>
    <col min="10941" max="10941" width="10.28515625" bestFit="1" customWidth="1"/>
    <col min="10942" max="10943" width="9.28515625" bestFit="1" customWidth="1"/>
    <col min="10945" max="10945" width="10.28515625" bestFit="1" customWidth="1"/>
    <col min="10946" max="10947" width="9.28515625" bestFit="1" customWidth="1"/>
    <col min="10949" max="10949" width="10.28515625" bestFit="1" customWidth="1"/>
    <col min="10950" max="10951" width="9.28515625" bestFit="1" customWidth="1"/>
    <col min="10953" max="10953" width="10.28515625" bestFit="1" customWidth="1"/>
    <col min="10954" max="10955" width="9.28515625" bestFit="1" customWidth="1"/>
    <col min="10957" max="10957" width="10.28515625" bestFit="1" customWidth="1"/>
    <col min="10958" max="10959" width="9.28515625" bestFit="1" customWidth="1"/>
    <col min="10961" max="10961" width="10.28515625" bestFit="1" customWidth="1"/>
    <col min="10962" max="10963" width="9.28515625" bestFit="1" customWidth="1"/>
    <col min="10965" max="10965" width="10.28515625" bestFit="1" customWidth="1"/>
    <col min="10966" max="10967" width="9.28515625" bestFit="1" customWidth="1"/>
    <col min="10969" max="10969" width="10.28515625" bestFit="1" customWidth="1"/>
    <col min="10970" max="10971" width="9.28515625" bestFit="1" customWidth="1"/>
    <col min="10973" max="10973" width="10.28515625" bestFit="1" customWidth="1"/>
    <col min="10974" max="10975" width="9.28515625" bestFit="1" customWidth="1"/>
    <col min="10977" max="10977" width="10.28515625" bestFit="1" customWidth="1"/>
    <col min="10978" max="10979" width="9.28515625" bestFit="1" customWidth="1"/>
    <col min="10981" max="10981" width="10.28515625" bestFit="1" customWidth="1"/>
    <col min="10982" max="10983" width="9.28515625" bestFit="1" customWidth="1"/>
    <col min="10985" max="10985" width="10.28515625" bestFit="1" customWidth="1"/>
    <col min="10986" max="10987" width="9.28515625" bestFit="1" customWidth="1"/>
    <col min="10989" max="10989" width="10.28515625" bestFit="1" customWidth="1"/>
    <col min="10990" max="10991" width="9.28515625" bestFit="1" customWidth="1"/>
    <col min="10993" max="10993" width="10.28515625" bestFit="1" customWidth="1"/>
    <col min="10994" max="10995" width="9.28515625" bestFit="1" customWidth="1"/>
    <col min="10997" max="10997" width="10.28515625" bestFit="1" customWidth="1"/>
    <col min="10998" max="10999" width="9.28515625" bestFit="1" customWidth="1"/>
    <col min="11001" max="11001" width="10.28515625" bestFit="1" customWidth="1"/>
    <col min="11002" max="11003" width="9.28515625" bestFit="1" customWidth="1"/>
    <col min="11005" max="11005" width="10.28515625" bestFit="1" customWidth="1"/>
    <col min="11006" max="11007" width="9.28515625" bestFit="1" customWidth="1"/>
    <col min="11009" max="11009" width="10.28515625" bestFit="1" customWidth="1"/>
    <col min="11010" max="11011" width="9.28515625" bestFit="1" customWidth="1"/>
    <col min="11013" max="11013" width="10.28515625" bestFit="1" customWidth="1"/>
    <col min="11014" max="11015" width="9.28515625" bestFit="1" customWidth="1"/>
    <col min="11017" max="11017" width="10.28515625" bestFit="1" customWidth="1"/>
    <col min="11018" max="11019" width="9.28515625" bestFit="1" customWidth="1"/>
    <col min="11021" max="11021" width="10.28515625" bestFit="1" customWidth="1"/>
    <col min="11022" max="11023" width="9.28515625" bestFit="1" customWidth="1"/>
    <col min="11025" max="11025" width="10.28515625" bestFit="1" customWidth="1"/>
    <col min="11026" max="11027" width="9.28515625" bestFit="1" customWidth="1"/>
    <col min="11029" max="11029" width="10.28515625" bestFit="1" customWidth="1"/>
    <col min="11030" max="11031" width="9.28515625" bestFit="1" customWidth="1"/>
    <col min="11033" max="11033" width="10.28515625" bestFit="1" customWidth="1"/>
    <col min="11034" max="11035" width="9.28515625" bestFit="1" customWidth="1"/>
    <col min="11037" max="11037" width="10.28515625" bestFit="1" customWidth="1"/>
    <col min="11038" max="11039" width="9.28515625" bestFit="1" customWidth="1"/>
    <col min="11041" max="11041" width="10.28515625" bestFit="1" customWidth="1"/>
    <col min="11042" max="11043" width="9.28515625" bestFit="1" customWidth="1"/>
    <col min="11045" max="11045" width="10.28515625" bestFit="1" customWidth="1"/>
    <col min="11046" max="11047" width="9.28515625" bestFit="1" customWidth="1"/>
    <col min="11049" max="11049" width="10.28515625" bestFit="1" customWidth="1"/>
    <col min="11050" max="11051" width="9.28515625" bestFit="1" customWidth="1"/>
    <col min="11053" max="11053" width="10.28515625" bestFit="1" customWidth="1"/>
    <col min="11054" max="11055" width="9.28515625" bestFit="1" customWidth="1"/>
    <col min="11057" max="11057" width="10.28515625" bestFit="1" customWidth="1"/>
    <col min="11058" max="11059" width="9.28515625" bestFit="1" customWidth="1"/>
    <col min="11061" max="11061" width="10.28515625" bestFit="1" customWidth="1"/>
    <col min="11062" max="11063" width="9.28515625" bestFit="1" customWidth="1"/>
    <col min="11065" max="11065" width="10.28515625" bestFit="1" customWidth="1"/>
    <col min="11066" max="11067" width="9.28515625" bestFit="1" customWidth="1"/>
    <col min="11069" max="11069" width="10.28515625" bestFit="1" customWidth="1"/>
    <col min="11070" max="11071" width="9.28515625" bestFit="1" customWidth="1"/>
    <col min="11073" max="11073" width="10.28515625" bestFit="1" customWidth="1"/>
    <col min="11074" max="11075" width="9.28515625" bestFit="1" customWidth="1"/>
    <col min="11077" max="11077" width="10.28515625" bestFit="1" customWidth="1"/>
    <col min="11078" max="11079" width="9.28515625" bestFit="1" customWidth="1"/>
    <col min="11081" max="11081" width="10.28515625" bestFit="1" customWidth="1"/>
    <col min="11082" max="11083" width="9.28515625" bestFit="1" customWidth="1"/>
    <col min="11085" max="11085" width="10.28515625" bestFit="1" customWidth="1"/>
    <col min="11086" max="11087" width="9.28515625" bestFit="1" customWidth="1"/>
    <col min="11089" max="11089" width="10.28515625" bestFit="1" customWidth="1"/>
    <col min="11090" max="11091" width="9.28515625" bestFit="1" customWidth="1"/>
    <col min="11093" max="11093" width="10.28515625" bestFit="1" customWidth="1"/>
    <col min="11094" max="11095" width="9.28515625" bestFit="1" customWidth="1"/>
    <col min="11097" max="11097" width="10.28515625" bestFit="1" customWidth="1"/>
    <col min="11098" max="11099" width="9.28515625" bestFit="1" customWidth="1"/>
    <col min="11101" max="11101" width="10.28515625" bestFit="1" customWidth="1"/>
    <col min="11102" max="11103" width="9.28515625" bestFit="1" customWidth="1"/>
    <col min="11105" max="11105" width="10.28515625" bestFit="1" customWidth="1"/>
    <col min="11106" max="11107" width="9.28515625" bestFit="1" customWidth="1"/>
    <col min="11109" max="11109" width="10.28515625" bestFit="1" customWidth="1"/>
    <col min="11110" max="11111" width="9.28515625" bestFit="1" customWidth="1"/>
    <col min="11113" max="11113" width="10.28515625" bestFit="1" customWidth="1"/>
    <col min="11114" max="11115" width="9.28515625" bestFit="1" customWidth="1"/>
    <col min="11117" max="11117" width="10.28515625" bestFit="1" customWidth="1"/>
    <col min="11118" max="11119" width="9.28515625" bestFit="1" customWidth="1"/>
    <col min="11121" max="11121" width="10.28515625" bestFit="1" customWidth="1"/>
    <col min="11122" max="11123" width="9.28515625" bestFit="1" customWidth="1"/>
    <col min="11125" max="11125" width="10.28515625" bestFit="1" customWidth="1"/>
    <col min="11126" max="11127" width="9.28515625" bestFit="1" customWidth="1"/>
    <col min="11129" max="11129" width="10.28515625" bestFit="1" customWidth="1"/>
    <col min="11130" max="11131" width="9.28515625" bestFit="1" customWidth="1"/>
    <col min="11133" max="11133" width="10.28515625" bestFit="1" customWidth="1"/>
    <col min="11134" max="11135" width="9.28515625" bestFit="1" customWidth="1"/>
    <col min="11137" max="11137" width="10.28515625" bestFit="1" customWidth="1"/>
    <col min="11138" max="11139" width="9.28515625" bestFit="1" customWidth="1"/>
    <col min="11141" max="11141" width="10.28515625" bestFit="1" customWidth="1"/>
    <col min="11142" max="11143" width="9.28515625" bestFit="1" customWidth="1"/>
    <col min="11145" max="11145" width="10.28515625" bestFit="1" customWidth="1"/>
    <col min="11146" max="11147" width="9.28515625" bestFit="1" customWidth="1"/>
    <col min="11149" max="11149" width="10.28515625" bestFit="1" customWidth="1"/>
    <col min="11150" max="11151" width="9.28515625" bestFit="1" customWidth="1"/>
    <col min="11153" max="11153" width="10.28515625" bestFit="1" customWidth="1"/>
    <col min="11154" max="11155" width="9.28515625" bestFit="1" customWidth="1"/>
    <col min="11157" max="11157" width="10.28515625" bestFit="1" customWidth="1"/>
    <col min="11158" max="11159" width="9.28515625" bestFit="1" customWidth="1"/>
    <col min="11161" max="11161" width="10.28515625" bestFit="1" customWidth="1"/>
    <col min="11162" max="11163" width="9.28515625" bestFit="1" customWidth="1"/>
    <col min="11165" max="11165" width="10.28515625" bestFit="1" customWidth="1"/>
    <col min="11166" max="11167" width="9.28515625" bestFit="1" customWidth="1"/>
    <col min="11169" max="11169" width="10.28515625" bestFit="1" customWidth="1"/>
    <col min="11170" max="11171" width="9.28515625" bestFit="1" customWidth="1"/>
    <col min="11173" max="11173" width="10.28515625" bestFit="1" customWidth="1"/>
    <col min="11174" max="11175" width="9.28515625" bestFit="1" customWidth="1"/>
    <col min="11177" max="11177" width="10.28515625" bestFit="1" customWidth="1"/>
    <col min="11178" max="11179" width="9.28515625" bestFit="1" customWidth="1"/>
    <col min="11181" max="11181" width="10.28515625" bestFit="1" customWidth="1"/>
    <col min="11182" max="11183" width="9.28515625" bestFit="1" customWidth="1"/>
    <col min="11185" max="11185" width="10.28515625" bestFit="1" customWidth="1"/>
    <col min="11186" max="11187" width="9.28515625" bestFit="1" customWidth="1"/>
    <col min="11189" max="11189" width="10.28515625" bestFit="1" customWidth="1"/>
    <col min="11190" max="11191" width="9.28515625" bestFit="1" customWidth="1"/>
    <col min="11193" max="11193" width="10.28515625" bestFit="1" customWidth="1"/>
    <col min="11194" max="11195" width="9.28515625" bestFit="1" customWidth="1"/>
    <col min="11197" max="11197" width="10.28515625" bestFit="1" customWidth="1"/>
    <col min="11198" max="11199" width="9.28515625" bestFit="1" customWidth="1"/>
    <col min="11201" max="11201" width="10.28515625" bestFit="1" customWidth="1"/>
    <col min="11202" max="11203" width="9.28515625" bestFit="1" customWidth="1"/>
    <col min="11205" max="11205" width="10.28515625" bestFit="1" customWidth="1"/>
    <col min="11206" max="11207" width="9.28515625" bestFit="1" customWidth="1"/>
    <col min="11209" max="11209" width="10.28515625" bestFit="1" customWidth="1"/>
    <col min="11210" max="11211" width="9.28515625" bestFit="1" customWidth="1"/>
    <col min="11213" max="11213" width="10.28515625" bestFit="1" customWidth="1"/>
    <col min="11214" max="11215" width="9.28515625" bestFit="1" customWidth="1"/>
    <col min="11217" max="11217" width="10.28515625" bestFit="1" customWidth="1"/>
    <col min="11218" max="11219" width="9.28515625" bestFit="1" customWidth="1"/>
    <col min="11221" max="11221" width="10.28515625" bestFit="1" customWidth="1"/>
    <col min="11222" max="11223" width="9.28515625" bestFit="1" customWidth="1"/>
    <col min="11225" max="11225" width="10.28515625" bestFit="1" customWidth="1"/>
    <col min="11226" max="11227" width="9.28515625" bestFit="1" customWidth="1"/>
    <col min="11229" max="11229" width="10.28515625" bestFit="1" customWidth="1"/>
    <col min="11230" max="11231" width="9.28515625" bestFit="1" customWidth="1"/>
    <col min="11233" max="11233" width="10.28515625" bestFit="1" customWidth="1"/>
    <col min="11234" max="11235" width="9.28515625" bestFit="1" customWidth="1"/>
    <col min="11237" max="11237" width="10.28515625" bestFit="1" customWidth="1"/>
    <col min="11238" max="11239" width="9.28515625" bestFit="1" customWidth="1"/>
    <col min="11241" max="11241" width="10.28515625" bestFit="1" customWidth="1"/>
    <col min="11242" max="11243" width="9.28515625" bestFit="1" customWidth="1"/>
    <col min="11245" max="11245" width="10.28515625" bestFit="1" customWidth="1"/>
    <col min="11246" max="11247" width="9.28515625" bestFit="1" customWidth="1"/>
    <col min="11249" max="11249" width="10.28515625" bestFit="1" customWidth="1"/>
    <col min="11250" max="11251" width="9.28515625" bestFit="1" customWidth="1"/>
    <col min="11253" max="11253" width="10.28515625" bestFit="1" customWidth="1"/>
    <col min="11254" max="11255" width="9.28515625" bestFit="1" customWidth="1"/>
    <col min="11257" max="11257" width="10.28515625" bestFit="1" customWidth="1"/>
    <col min="11258" max="11259" width="9.28515625" bestFit="1" customWidth="1"/>
    <col min="11261" max="11261" width="10.28515625" bestFit="1" customWidth="1"/>
    <col min="11262" max="11263" width="9.28515625" bestFit="1" customWidth="1"/>
    <col min="11265" max="11265" width="10.28515625" bestFit="1" customWidth="1"/>
    <col min="11266" max="11267" width="9.28515625" bestFit="1" customWidth="1"/>
    <col min="11269" max="11269" width="10.28515625" bestFit="1" customWidth="1"/>
    <col min="11270" max="11271" width="9.28515625" bestFit="1" customWidth="1"/>
    <col min="11273" max="11273" width="10.28515625" bestFit="1" customWidth="1"/>
    <col min="11274" max="11275" width="9.28515625" bestFit="1" customWidth="1"/>
    <col min="11277" max="11277" width="10.28515625" bestFit="1" customWidth="1"/>
    <col min="11278" max="11279" width="9.28515625" bestFit="1" customWidth="1"/>
    <col min="11281" max="11281" width="10.28515625" bestFit="1" customWidth="1"/>
    <col min="11282" max="11283" width="9.28515625" bestFit="1" customWidth="1"/>
    <col min="11285" max="11285" width="10.28515625" bestFit="1" customWidth="1"/>
    <col min="11286" max="11287" width="9.28515625" bestFit="1" customWidth="1"/>
    <col min="11289" max="11289" width="10.28515625" bestFit="1" customWidth="1"/>
    <col min="11290" max="11291" width="9.28515625" bestFit="1" customWidth="1"/>
    <col min="11293" max="11293" width="10.28515625" bestFit="1" customWidth="1"/>
    <col min="11294" max="11295" width="9.28515625" bestFit="1" customWidth="1"/>
    <col min="11297" max="11297" width="10.28515625" bestFit="1" customWidth="1"/>
    <col min="11298" max="11299" width="9.28515625" bestFit="1" customWidth="1"/>
    <col min="11301" max="11301" width="10.28515625" bestFit="1" customWidth="1"/>
    <col min="11302" max="11303" width="9.28515625" bestFit="1" customWidth="1"/>
    <col min="11305" max="11305" width="10.28515625" bestFit="1" customWidth="1"/>
    <col min="11306" max="11307" width="9.28515625" bestFit="1" customWidth="1"/>
    <col min="11309" max="11309" width="10.28515625" bestFit="1" customWidth="1"/>
    <col min="11310" max="11311" width="9.28515625" bestFit="1" customWidth="1"/>
    <col min="11313" max="11313" width="10.28515625" bestFit="1" customWidth="1"/>
    <col min="11314" max="11315" width="9.28515625" bestFit="1" customWidth="1"/>
    <col min="11317" max="11317" width="10.28515625" bestFit="1" customWidth="1"/>
    <col min="11318" max="11319" width="9.28515625" bestFit="1" customWidth="1"/>
    <col min="11321" max="11321" width="10.28515625" bestFit="1" customWidth="1"/>
    <col min="11322" max="11323" width="9.28515625" bestFit="1" customWidth="1"/>
    <col min="11325" max="11325" width="10.28515625" bestFit="1" customWidth="1"/>
    <col min="11326" max="11327" width="9.28515625" bestFit="1" customWidth="1"/>
    <col min="11329" max="11329" width="10.28515625" bestFit="1" customWidth="1"/>
    <col min="11330" max="11331" width="9.28515625" bestFit="1" customWidth="1"/>
    <col min="11333" max="11333" width="10.28515625" bestFit="1" customWidth="1"/>
    <col min="11334" max="11335" width="9.28515625" bestFit="1" customWidth="1"/>
    <col min="11337" max="11337" width="10.28515625" bestFit="1" customWidth="1"/>
    <col min="11338" max="11339" width="9.28515625" bestFit="1" customWidth="1"/>
    <col min="11341" max="11341" width="10.28515625" bestFit="1" customWidth="1"/>
    <col min="11342" max="11343" width="9.28515625" bestFit="1" customWidth="1"/>
    <col min="11345" max="11345" width="10.28515625" bestFit="1" customWidth="1"/>
    <col min="11346" max="11347" width="9.28515625" bestFit="1" customWidth="1"/>
    <col min="11349" max="11349" width="10.28515625" bestFit="1" customWidth="1"/>
    <col min="11350" max="11351" width="9.28515625" bestFit="1" customWidth="1"/>
    <col min="11353" max="11353" width="10.28515625" bestFit="1" customWidth="1"/>
    <col min="11354" max="11355" width="9.28515625" bestFit="1" customWidth="1"/>
    <col min="11357" max="11357" width="10.28515625" bestFit="1" customWidth="1"/>
    <col min="11358" max="11359" width="9.28515625" bestFit="1" customWidth="1"/>
    <col min="11361" max="11361" width="10.28515625" bestFit="1" customWidth="1"/>
    <col min="11362" max="11363" width="9.28515625" bestFit="1" customWidth="1"/>
    <col min="11365" max="11365" width="10.28515625" bestFit="1" customWidth="1"/>
    <col min="11366" max="11367" width="9.28515625" bestFit="1" customWidth="1"/>
    <col min="11369" max="11369" width="10.28515625" bestFit="1" customWidth="1"/>
    <col min="11370" max="11371" width="9.28515625" bestFit="1" customWidth="1"/>
    <col min="11373" max="11373" width="10.28515625" bestFit="1" customWidth="1"/>
    <col min="11374" max="11375" width="9.28515625" bestFit="1" customWidth="1"/>
    <col min="11377" max="11377" width="10.28515625" bestFit="1" customWidth="1"/>
    <col min="11378" max="11379" width="9.28515625" bestFit="1" customWidth="1"/>
    <col min="11381" max="11381" width="10.28515625" bestFit="1" customWidth="1"/>
    <col min="11382" max="11383" width="9.28515625" bestFit="1" customWidth="1"/>
    <col min="11385" max="11385" width="10.28515625" bestFit="1" customWidth="1"/>
    <col min="11386" max="11387" width="9.28515625" bestFit="1" customWidth="1"/>
    <col min="11389" max="11389" width="10.28515625" bestFit="1" customWidth="1"/>
    <col min="11390" max="11391" width="9.28515625" bestFit="1" customWidth="1"/>
    <col min="11393" max="11393" width="10.28515625" bestFit="1" customWidth="1"/>
    <col min="11394" max="11395" width="9.28515625" bestFit="1" customWidth="1"/>
    <col min="11397" max="11397" width="10.28515625" bestFit="1" customWidth="1"/>
    <col min="11398" max="11399" width="9.28515625" bestFit="1" customWidth="1"/>
    <col min="11401" max="11401" width="10.28515625" bestFit="1" customWidth="1"/>
    <col min="11402" max="11403" width="9.28515625" bestFit="1" customWidth="1"/>
    <col min="11405" max="11405" width="10.28515625" bestFit="1" customWidth="1"/>
    <col min="11406" max="11407" width="9.28515625" bestFit="1" customWidth="1"/>
    <col min="11409" max="11409" width="10.28515625" bestFit="1" customWidth="1"/>
    <col min="11410" max="11411" width="9.28515625" bestFit="1" customWidth="1"/>
    <col min="11413" max="11413" width="10.28515625" bestFit="1" customWidth="1"/>
    <col min="11414" max="11415" width="9.28515625" bestFit="1" customWidth="1"/>
    <col min="11417" max="11417" width="10.28515625" bestFit="1" customWidth="1"/>
    <col min="11418" max="11419" width="9.28515625" bestFit="1" customWidth="1"/>
    <col min="11421" max="11421" width="10.28515625" bestFit="1" customWidth="1"/>
    <col min="11422" max="11423" width="9.28515625" bestFit="1" customWidth="1"/>
    <col min="11425" max="11425" width="10.28515625" bestFit="1" customWidth="1"/>
    <col min="11426" max="11427" width="9.28515625" bestFit="1" customWidth="1"/>
    <col min="11429" max="11429" width="10.28515625" bestFit="1" customWidth="1"/>
    <col min="11430" max="11431" width="9.28515625" bestFit="1" customWidth="1"/>
    <col min="11433" max="11433" width="10.28515625" bestFit="1" customWidth="1"/>
    <col min="11434" max="11435" width="9.28515625" bestFit="1" customWidth="1"/>
    <col min="11437" max="11437" width="10.28515625" bestFit="1" customWidth="1"/>
    <col min="11438" max="11439" width="9.28515625" bestFit="1" customWidth="1"/>
    <col min="11441" max="11441" width="10.28515625" bestFit="1" customWidth="1"/>
    <col min="11442" max="11443" width="9.28515625" bestFit="1" customWidth="1"/>
    <col min="11445" max="11445" width="10.28515625" bestFit="1" customWidth="1"/>
    <col min="11446" max="11447" width="9.28515625" bestFit="1" customWidth="1"/>
    <col min="11449" max="11449" width="10.28515625" bestFit="1" customWidth="1"/>
    <col min="11450" max="11451" width="9.28515625" bestFit="1" customWidth="1"/>
    <col min="11453" max="11453" width="10.28515625" bestFit="1" customWidth="1"/>
    <col min="11454" max="11455" width="9.28515625" bestFit="1" customWidth="1"/>
    <col min="11457" max="11457" width="10.28515625" bestFit="1" customWidth="1"/>
    <col min="11458" max="11459" width="9.28515625" bestFit="1" customWidth="1"/>
    <col min="11461" max="11461" width="10.28515625" bestFit="1" customWidth="1"/>
    <col min="11462" max="11463" width="9.28515625" bestFit="1" customWidth="1"/>
    <col min="11465" max="11465" width="10.28515625" bestFit="1" customWidth="1"/>
    <col min="11466" max="11467" width="9.28515625" bestFit="1" customWidth="1"/>
    <col min="11469" max="11469" width="10.28515625" bestFit="1" customWidth="1"/>
    <col min="11470" max="11471" width="9.28515625" bestFit="1" customWidth="1"/>
    <col min="11473" max="11473" width="10.28515625" bestFit="1" customWidth="1"/>
    <col min="11474" max="11475" width="9.28515625" bestFit="1" customWidth="1"/>
    <col min="11477" max="11477" width="10.28515625" bestFit="1" customWidth="1"/>
    <col min="11478" max="11479" width="9.28515625" bestFit="1" customWidth="1"/>
    <col min="11481" max="11481" width="10.28515625" bestFit="1" customWidth="1"/>
    <col min="11482" max="11483" width="9.28515625" bestFit="1" customWidth="1"/>
    <col min="11485" max="11485" width="10.28515625" bestFit="1" customWidth="1"/>
    <col min="11486" max="11487" width="9.28515625" bestFit="1" customWidth="1"/>
    <col min="11489" max="11489" width="10.28515625" bestFit="1" customWidth="1"/>
    <col min="11490" max="11491" width="9.28515625" bestFit="1" customWidth="1"/>
    <col min="11493" max="11493" width="10.28515625" bestFit="1" customWidth="1"/>
    <col min="11494" max="11495" width="9.28515625" bestFit="1" customWidth="1"/>
    <col min="11497" max="11497" width="10.28515625" bestFit="1" customWidth="1"/>
    <col min="11498" max="11499" width="9.28515625" bestFit="1" customWidth="1"/>
    <col min="11501" max="11501" width="10.28515625" bestFit="1" customWidth="1"/>
    <col min="11502" max="11503" width="9.28515625" bestFit="1" customWidth="1"/>
    <col min="11505" max="11505" width="10.28515625" bestFit="1" customWidth="1"/>
    <col min="11506" max="11507" width="9.28515625" bestFit="1" customWidth="1"/>
    <col min="11509" max="11509" width="10.28515625" bestFit="1" customWidth="1"/>
    <col min="11510" max="11511" width="9.28515625" bestFit="1" customWidth="1"/>
    <col min="11513" max="11513" width="10.28515625" bestFit="1" customWidth="1"/>
    <col min="11514" max="11515" width="9.28515625" bestFit="1" customWidth="1"/>
    <col min="11517" max="11517" width="10.28515625" bestFit="1" customWidth="1"/>
    <col min="11518" max="11519" width="9.28515625" bestFit="1" customWidth="1"/>
    <col min="11521" max="11521" width="10.28515625" bestFit="1" customWidth="1"/>
    <col min="11522" max="11523" width="9.28515625" bestFit="1" customWidth="1"/>
    <col min="11525" max="11525" width="10.28515625" bestFit="1" customWidth="1"/>
    <col min="11526" max="11527" width="9.28515625" bestFit="1" customWidth="1"/>
    <col min="11529" max="11529" width="10.28515625" bestFit="1" customWidth="1"/>
    <col min="11530" max="11531" width="9.28515625" bestFit="1" customWidth="1"/>
    <col min="11533" max="11533" width="10.28515625" bestFit="1" customWidth="1"/>
    <col min="11534" max="11535" width="9.28515625" bestFit="1" customWidth="1"/>
    <col min="11537" max="11537" width="10.28515625" bestFit="1" customWidth="1"/>
    <col min="11538" max="11539" width="9.28515625" bestFit="1" customWidth="1"/>
    <col min="11541" max="11541" width="10.28515625" bestFit="1" customWidth="1"/>
    <col min="11542" max="11543" width="9.28515625" bestFit="1" customWidth="1"/>
    <col min="11545" max="11545" width="10.28515625" bestFit="1" customWidth="1"/>
    <col min="11546" max="11547" width="9.28515625" bestFit="1" customWidth="1"/>
    <col min="11549" max="11549" width="10.28515625" bestFit="1" customWidth="1"/>
    <col min="11550" max="11551" width="9.28515625" bestFit="1" customWidth="1"/>
    <col min="11553" max="11553" width="10.28515625" bestFit="1" customWidth="1"/>
    <col min="11554" max="11555" width="9.28515625" bestFit="1" customWidth="1"/>
    <col min="11557" max="11557" width="10.28515625" bestFit="1" customWidth="1"/>
    <col min="11558" max="11559" width="9.28515625" bestFit="1" customWidth="1"/>
    <col min="11561" max="11561" width="10.28515625" bestFit="1" customWidth="1"/>
    <col min="11562" max="11563" width="9.28515625" bestFit="1" customWidth="1"/>
    <col min="11565" max="11565" width="10.28515625" bestFit="1" customWidth="1"/>
    <col min="11566" max="11567" width="9.28515625" bestFit="1" customWidth="1"/>
    <col min="11569" max="11569" width="10.28515625" bestFit="1" customWidth="1"/>
    <col min="11570" max="11571" width="9.28515625" bestFit="1" customWidth="1"/>
    <col min="11573" max="11573" width="10.28515625" bestFit="1" customWidth="1"/>
    <col min="11574" max="11575" width="9.28515625" bestFit="1" customWidth="1"/>
    <col min="11577" max="11577" width="10.28515625" bestFit="1" customWidth="1"/>
    <col min="11578" max="11579" width="9.28515625" bestFit="1" customWidth="1"/>
    <col min="11581" max="11581" width="10.28515625" bestFit="1" customWidth="1"/>
    <col min="11582" max="11583" width="9.28515625" bestFit="1" customWidth="1"/>
    <col min="11585" max="11585" width="10.28515625" bestFit="1" customWidth="1"/>
    <col min="11586" max="11587" width="9.28515625" bestFit="1" customWidth="1"/>
    <col min="11589" max="11589" width="10.28515625" bestFit="1" customWidth="1"/>
    <col min="11590" max="11591" width="9.28515625" bestFit="1" customWidth="1"/>
    <col min="11593" max="11593" width="10.28515625" bestFit="1" customWidth="1"/>
    <col min="11594" max="11595" width="9.28515625" bestFit="1" customWidth="1"/>
    <col min="11597" max="11597" width="10.28515625" bestFit="1" customWidth="1"/>
    <col min="11598" max="11599" width="9.28515625" bestFit="1" customWidth="1"/>
    <col min="11601" max="11601" width="10.28515625" bestFit="1" customWidth="1"/>
    <col min="11602" max="11603" width="9.28515625" bestFit="1" customWidth="1"/>
    <col min="11605" max="11605" width="10.28515625" bestFit="1" customWidth="1"/>
    <col min="11606" max="11607" width="9.28515625" bestFit="1" customWidth="1"/>
    <col min="11609" max="11609" width="10.28515625" bestFit="1" customWidth="1"/>
    <col min="11610" max="11611" width="9.28515625" bestFit="1" customWidth="1"/>
    <col min="11613" max="11613" width="10.28515625" bestFit="1" customWidth="1"/>
    <col min="11614" max="11615" width="9.28515625" bestFit="1" customWidth="1"/>
    <col min="11617" max="11617" width="10.28515625" bestFit="1" customWidth="1"/>
    <col min="11618" max="11619" width="9.28515625" bestFit="1" customWidth="1"/>
    <col min="11621" max="11621" width="10.28515625" bestFit="1" customWidth="1"/>
    <col min="11622" max="11623" width="9.28515625" bestFit="1" customWidth="1"/>
    <col min="11625" max="11625" width="10.28515625" bestFit="1" customWidth="1"/>
    <col min="11626" max="11627" width="9.28515625" bestFit="1" customWidth="1"/>
    <col min="11629" max="11629" width="10.28515625" bestFit="1" customWidth="1"/>
    <col min="11630" max="11631" width="9.28515625" bestFit="1" customWidth="1"/>
    <col min="11633" max="11633" width="10.28515625" bestFit="1" customWidth="1"/>
    <col min="11634" max="11635" width="9.28515625" bestFit="1" customWidth="1"/>
    <col min="11637" max="11637" width="10.28515625" bestFit="1" customWidth="1"/>
    <col min="11638" max="11639" width="9.28515625" bestFit="1" customWidth="1"/>
    <col min="11641" max="11641" width="10.28515625" bestFit="1" customWidth="1"/>
    <col min="11642" max="11643" width="9.28515625" bestFit="1" customWidth="1"/>
    <col min="11645" max="11645" width="10.28515625" bestFit="1" customWidth="1"/>
    <col min="11646" max="11647" width="9.28515625" bestFit="1" customWidth="1"/>
    <col min="11649" max="11649" width="10.28515625" bestFit="1" customWidth="1"/>
    <col min="11650" max="11651" width="9.28515625" bestFit="1" customWidth="1"/>
    <col min="11653" max="11653" width="10.28515625" bestFit="1" customWidth="1"/>
    <col min="11654" max="11655" width="9.28515625" bestFit="1" customWidth="1"/>
    <col min="11657" max="11657" width="10.28515625" bestFit="1" customWidth="1"/>
    <col min="11658" max="11659" width="9.28515625" bestFit="1" customWidth="1"/>
    <col min="11661" max="11661" width="10.28515625" bestFit="1" customWidth="1"/>
    <col min="11662" max="11663" width="9.28515625" bestFit="1" customWidth="1"/>
    <col min="11665" max="11665" width="10.28515625" bestFit="1" customWidth="1"/>
    <col min="11666" max="11667" width="9.28515625" bestFit="1" customWidth="1"/>
    <col min="11669" max="11669" width="10.28515625" bestFit="1" customWidth="1"/>
    <col min="11670" max="11671" width="9.28515625" bestFit="1" customWidth="1"/>
    <col min="11673" max="11673" width="10.28515625" bestFit="1" customWidth="1"/>
    <col min="11674" max="11675" width="9.28515625" bestFit="1" customWidth="1"/>
    <col min="11677" max="11677" width="10.28515625" bestFit="1" customWidth="1"/>
    <col min="11678" max="11679" width="9.28515625" bestFit="1" customWidth="1"/>
    <col min="11681" max="11681" width="10.28515625" bestFit="1" customWidth="1"/>
    <col min="11682" max="11683" width="9.28515625" bestFit="1" customWidth="1"/>
    <col min="11685" max="11685" width="10.28515625" bestFit="1" customWidth="1"/>
    <col min="11686" max="11687" width="9.28515625" bestFit="1" customWidth="1"/>
    <col min="11689" max="11689" width="10.28515625" bestFit="1" customWidth="1"/>
    <col min="11690" max="11691" width="9.28515625" bestFit="1" customWidth="1"/>
    <col min="11693" max="11693" width="10.28515625" bestFit="1" customWidth="1"/>
    <col min="11694" max="11695" width="9.28515625" bestFit="1" customWidth="1"/>
    <col min="11697" max="11697" width="10.28515625" bestFit="1" customWidth="1"/>
    <col min="11698" max="11699" width="9.28515625" bestFit="1" customWidth="1"/>
    <col min="11701" max="11701" width="10.28515625" bestFit="1" customWidth="1"/>
    <col min="11702" max="11703" width="9.28515625" bestFit="1" customWidth="1"/>
    <col min="11705" max="11705" width="10.28515625" bestFit="1" customWidth="1"/>
    <col min="11706" max="11707" width="9.28515625" bestFit="1" customWidth="1"/>
    <col min="11709" max="11709" width="10.28515625" bestFit="1" customWidth="1"/>
    <col min="11710" max="11711" width="9.28515625" bestFit="1" customWidth="1"/>
    <col min="11713" max="11713" width="10.28515625" bestFit="1" customWidth="1"/>
    <col min="11714" max="11715" width="9.28515625" bestFit="1" customWidth="1"/>
    <col min="11717" max="11717" width="10.28515625" bestFit="1" customWidth="1"/>
    <col min="11718" max="11719" width="9.28515625" bestFit="1" customWidth="1"/>
    <col min="11721" max="11721" width="10.28515625" bestFit="1" customWidth="1"/>
    <col min="11722" max="11723" width="9.28515625" bestFit="1" customWidth="1"/>
    <col min="11725" max="11725" width="10.28515625" bestFit="1" customWidth="1"/>
    <col min="11726" max="11727" width="9.28515625" bestFit="1" customWidth="1"/>
    <col min="11729" max="11729" width="10.28515625" bestFit="1" customWidth="1"/>
    <col min="11730" max="11731" width="9.28515625" bestFit="1" customWidth="1"/>
    <col min="11733" max="11733" width="10.28515625" bestFit="1" customWidth="1"/>
    <col min="11734" max="11735" width="9.28515625" bestFit="1" customWidth="1"/>
    <col min="11737" max="11737" width="10.28515625" bestFit="1" customWidth="1"/>
    <col min="11738" max="11739" width="9.28515625" bestFit="1" customWidth="1"/>
    <col min="11741" max="11741" width="10.28515625" bestFit="1" customWidth="1"/>
    <col min="11742" max="11743" width="9.28515625" bestFit="1" customWidth="1"/>
    <col min="11745" max="11745" width="10.28515625" bestFit="1" customWidth="1"/>
    <col min="11746" max="11747" width="9.28515625" bestFit="1" customWidth="1"/>
    <col min="11749" max="11749" width="10.28515625" bestFit="1" customWidth="1"/>
    <col min="11750" max="11751" width="9.28515625" bestFit="1" customWidth="1"/>
    <col min="11753" max="11753" width="10.28515625" bestFit="1" customWidth="1"/>
    <col min="11754" max="11755" width="9.28515625" bestFit="1" customWidth="1"/>
    <col min="11757" max="11757" width="10.28515625" bestFit="1" customWidth="1"/>
    <col min="11758" max="11759" width="9.28515625" bestFit="1" customWidth="1"/>
    <col min="11761" max="11761" width="10.28515625" bestFit="1" customWidth="1"/>
    <col min="11762" max="11763" width="9.28515625" bestFit="1" customWidth="1"/>
    <col min="11765" max="11765" width="10.28515625" bestFit="1" customWidth="1"/>
    <col min="11766" max="11767" width="9.28515625" bestFit="1" customWidth="1"/>
    <col min="11769" max="11769" width="10.28515625" bestFit="1" customWidth="1"/>
    <col min="11770" max="11771" width="9.28515625" bestFit="1" customWidth="1"/>
    <col min="11773" max="11773" width="10.28515625" bestFit="1" customWidth="1"/>
    <col min="11774" max="11775" width="9.28515625" bestFit="1" customWidth="1"/>
    <col min="11777" max="11777" width="10.28515625" bestFit="1" customWidth="1"/>
    <col min="11778" max="11779" width="9.28515625" bestFit="1" customWidth="1"/>
    <col min="11781" max="11781" width="10.28515625" bestFit="1" customWidth="1"/>
    <col min="11782" max="11783" width="9.28515625" bestFit="1" customWidth="1"/>
    <col min="11785" max="11785" width="10.28515625" bestFit="1" customWidth="1"/>
    <col min="11786" max="11787" width="9.28515625" bestFit="1" customWidth="1"/>
    <col min="11789" max="11789" width="10.28515625" bestFit="1" customWidth="1"/>
    <col min="11790" max="11791" width="9.28515625" bestFit="1" customWidth="1"/>
    <col min="11793" max="11793" width="10.28515625" bestFit="1" customWidth="1"/>
    <col min="11794" max="11795" width="9.28515625" bestFit="1" customWidth="1"/>
    <col min="11797" max="11797" width="10.28515625" bestFit="1" customWidth="1"/>
    <col min="11798" max="11799" width="9.28515625" bestFit="1" customWidth="1"/>
    <col min="11801" max="11801" width="10.28515625" bestFit="1" customWidth="1"/>
    <col min="11802" max="11803" width="9.28515625" bestFit="1" customWidth="1"/>
    <col min="11805" max="11805" width="10.28515625" bestFit="1" customWidth="1"/>
    <col min="11806" max="11807" width="9.28515625" bestFit="1" customWidth="1"/>
    <col min="11809" max="11809" width="10.28515625" bestFit="1" customWidth="1"/>
    <col min="11810" max="11811" width="9.28515625" bestFit="1" customWidth="1"/>
    <col min="11813" max="11813" width="10.28515625" bestFit="1" customWidth="1"/>
    <col min="11814" max="11815" width="9.28515625" bestFit="1" customWidth="1"/>
    <col min="11817" max="11817" width="10.28515625" bestFit="1" customWidth="1"/>
    <col min="11818" max="11819" width="9.28515625" bestFit="1" customWidth="1"/>
    <col min="11821" max="11821" width="10.28515625" bestFit="1" customWidth="1"/>
    <col min="11822" max="11823" width="9.28515625" bestFit="1" customWidth="1"/>
    <col min="11825" max="11825" width="10.28515625" bestFit="1" customWidth="1"/>
    <col min="11826" max="11827" width="9.28515625" bestFit="1" customWidth="1"/>
    <col min="11829" max="11829" width="10.28515625" bestFit="1" customWidth="1"/>
    <col min="11830" max="11831" width="9.28515625" bestFit="1" customWidth="1"/>
    <col min="11833" max="11833" width="10.28515625" bestFit="1" customWidth="1"/>
    <col min="11834" max="11835" width="9.28515625" bestFit="1" customWidth="1"/>
    <col min="11837" max="11837" width="10.28515625" bestFit="1" customWidth="1"/>
    <col min="11838" max="11839" width="9.28515625" bestFit="1" customWidth="1"/>
    <col min="11841" max="11841" width="10.28515625" bestFit="1" customWidth="1"/>
    <col min="11842" max="11843" width="9.28515625" bestFit="1" customWidth="1"/>
    <col min="11845" max="11845" width="10.28515625" bestFit="1" customWidth="1"/>
    <col min="11846" max="11847" width="9.28515625" bestFit="1" customWidth="1"/>
    <col min="11849" max="11849" width="10.28515625" bestFit="1" customWidth="1"/>
    <col min="11850" max="11851" width="9.28515625" bestFit="1" customWidth="1"/>
    <col min="11853" max="11853" width="10.28515625" bestFit="1" customWidth="1"/>
    <col min="11854" max="11855" width="9.28515625" bestFit="1" customWidth="1"/>
    <col min="11857" max="11857" width="10.28515625" bestFit="1" customWidth="1"/>
    <col min="11858" max="11859" width="9.28515625" bestFit="1" customWidth="1"/>
    <col min="11861" max="11861" width="10.28515625" bestFit="1" customWidth="1"/>
    <col min="11862" max="11863" width="9.28515625" bestFit="1" customWidth="1"/>
    <col min="11865" max="11865" width="10.28515625" bestFit="1" customWidth="1"/>
    <col min="11866" max="11867" width="9.28515625" bestFit="1" customWidth="1"/>
    <col min="11869" max="11869" width="10.28515625" bestFit="1" customWidth="1"/>
    <col min="11870" max="11871" width="9.28515625" bestFit="1" customWidth="1"/>
    <col min="11873" max="11873" width="10.28515625" bestFit="1" customWidth="1"/>
    <col min="11874" max="11875" width="9.28515625" bestFit="1" customWidth="1"/>
    <col min="11877" max="11877" width="10.28515625" bestFit="1" customWidth="1"/>
    <col min="11878" max="11879" width="9.28515625" bestFit="1" customWidth="1"/>
    <col min="11881" max="11881" width="10.28515625" bestFit="1" customWidth="1"/>
    <col min="11882" max="11883" width="9.28515625" bestFit="1" customWidth="1"/>
    <col min="11885" max="11885" width="10.28515625" bestFit="1" customWidth="1"/>
    <col min="11886" max="11887" width="9.28515625" bestFit="1" customWidth="1"/>
    <col min="11889" max="11889" width="10.28515625" bestFit="1" customWidth="1"/>
    <col min="11890" max="11891" width="9.28515625" bestFit="1" customWidth="1"/>
    <col min="11893" max="11893" width="10.28515625" bestFit="1" customWidth="1"/>
    <col min="11894" max="11895" width="9.28515625" bestFit="1" customWidth="1"/>
    <col min="11897" max="11897" width="10.28515625" bestFit="1" customWidth="1"/>
    <col min="11898" max="11899" width="9.28515625" bestFit="1" customWidth="1"/>
    <col min="11901" max="11901" width="10.28515625" bestFit="1" customWidth="1"/>
    <col min="11902" max="11903" width="9.28515625" bestFit="1" customWidth="1"/>
    <col min="11905" max="11905" width="10.28515625" bestFit="1" customWidth="1"/>
    <col min="11906" max="11907" width="9.28515625" bestFit="1" customWidth="1"/>
    <col min="11909" max="11909" width="10.28515625" bestFit="1" customWidth="1"/>
    <col min="11910" max="11911" width="9.28515625" bestFit="1" customWidth="1"/>
    <col min="11913" max="11913" width="10.28515625" bestFit="1" customWidth="1"/>
    <col min="11914" max="11915" width="9.28515625" bestFit="1" customWidth="1"/>
    <col min="11917" max="11917" width="10.28515625" bestFit="1" customWidth="1"/>
    <col min="11918" max="11919" width="9.28515625" bestFit="1" customWidth="1"/>
    <col min="11921" max="11921" width="10.28515625" bestFit="1" customWidth="1"/>
    <col min="11922" max="11923" width="9.28515625" bestFit="1" customWidth="1"/>
    <col min="11925" max="11925" width="10.28515625" bestFit="1" customWidth="1"/>
    <col min="11926" max="11927" width="9.28515625" bestFit="1" customWidth="1"/>
    <col min="11929" max="11929" width="10.28515625" bestFit="1" customWidth="1"/>
    <col min="11930" max="11931" width="9.28515625" bestFit="1" customWidth="1"/>
    <col min="11933" max="11933" width="10.28515625" bestFit="1" customWidth="1"/>
    <col min="11934" max="11935" width="9.28515625" bestFit="1" customWidth="1"/>
    <col min="11937" max="11937" width="10.28515625" bestFit="1" customWidth="1"/>
    <col min="11938" max="11939" width="9.28515625" bestFit="1" customWidth="1"/>
    <col min="11941" max="11941" width="10.28515625" bestFit="1" customWidth="1"/>
    <col min="11942" max="11943" width="9.28515625" bestFit="1" customWidth="1"/>
    <col min="11945" max="11945" width="10.28515625" bestFit="1" customWidth="1"/>
    <col min="11946" max="11947" width="9.28515625" bestFit="1" customWidth="1"/>
    <col min="11949" max="11949" width="10.28515625" bestFit="1" customWidth="1"/>
    <col min="11950" max="11951" width="9.28515625" bestFit="1" customWidth="1"/>
    <col min="11953" max="11953" width="10.28515625" bestFit="1" customWidth="1"/>
    <col min="11954" max="11955" width="9.28515625" bestFit="1" customWidth="1"/>
    <col min="11957" max="11957" width="10.28515625" bestFit="1" customWidth="1"/>
    <col min="11958" max="11959" width="9.28515625" bestFit="1" customWidth="1"/>
    <col min="11961" max="11961" width="10.28515625" bestFit="1" customWidth="1"/>
    <col min="11962" max="11963" width="9.28515625" bestFit="1" customWidth="1"/>
    <col min="11965" max="11965" width="10.28515625" bestFit="1" customWidth="1"/>
    <col min="11966" max="11967" width="9.28515625" bestFit="1" customWidth="1"/>
    <col min="11969" max="11969" width="10.28515625" bestFit="1" customWidth="1"/>
    <col min="11970" max="11971" width="9.28515625" bestFit="1" customWidth="1"/>
    <col min="11973" max="11973" width="10.28515625" bestFit="1" customWidth="1"/>
    <col min="11974" max="11975" width="9.28515625" bestFit="1" customWidth="1"/>
    <col min="11977" max="11977" width="10.28515625" bestFit="1" customWidth="1"/>
    <col min="11978" max="11979" width="9.28515625" bestFit="1" customWidth="1"/>
    <col min="11981" max="11981" width="10.28515625" bestFit="1" customWidth="1"/>
    <col min="11982" max="11983" width="9.28515625" bestFit="1" customWidth="1"/>
    <col min="11985" max="11985" width="10.28515625" bestFit="1" customWidth="1"/>
    <col min="11986" max="11987" width="9.28515625" bestFit="1" customWidth="1"/>
    <col min="11989" max="11989" width="10.28515625" bestFit="1" customWidth="1"/>
    <col min="11990" max="11991" width="9.28515625" bestFit="1" customWidth="1"/>
    <col min="11993" max="11993" width="10.28515625" bestFit="1" customWidth="1"/>
    <col min="11994" max="11995" width="9.28515625" bestFit="1" customWidth="1"/>
    <col min="11997" max="11997" width="10.28515625" bestFit="1" customWidth="1"/>
    <col min="11998" max="11999" width="9.28515625" bestFit="1" customWidth="1"/>
    <col min="12001" max="12001" width="10.28515625" bestFit="1" customWidth="1"/>
    <col min="12002" max="12003" width="9.28515625" bestFit="1" customWidth="1"/>
    <col min="12005" max="12005" width="10.28515625" bestFit="1" customWidth="1"/>
    <col min="12006" max="12007" width="9.28515625" bestFit="1" customWidth="1"/>
    <col min="12009" max="12009" width="10.28515625" bestFit="1" customWidth="1"/>
    <col min="12010" max="12011" width="9.28515625" bestFit="1" customWidth="1"/>
    <col min="12013" max="12013" width="10.28515625" bestFit="1" customWidth="1"/>
    <col min="12014" max="12015" width="9.28515625" bestFit="1" customWidth="1"/>
    <col min="12017" max="12017" width="10.28515625" bestFit="1" customWidth="1"/>
    <col min="12018" max="12019" width="9.28515625" bestFit="1" customWidth="1"/>
    <col min="12021" max="12021" width="10.28515625" bestFit="1" customWidth="1"/>
    <col min="12022" max="12023" width="9.28515625" bestFit="1" customWidth="1"/>
    <col min="12025" max="12025" width="10.28515625" bestFit="1" customWidth="1"/>
    <col min="12026" max="12027" width="9.28515625" bestFit="1" customWidth="1"/>
    <col min="12029" max="12029" width="10.28515625" bestFit="1" customWidth="1"/>
    <col min="12030" max="12031" width="9.28515625" bestFit="1" customWidth="1"/>
    <col min="12033" max="12033" width="10.28515625" bestFit="1" customWidth="1"/>
    <col min="12034" max="12035" width="9.28515625" bestFit="1" customWidth="1"/>
    <col min="12037" max="12037" width="10.28515625" bestFit="1" customWidth="1"/>
    <col min="12038" max="12039" width="9.28515625" bestFit="1" customWidth="1"/>
    <col min="12041" max="12041" width="10.28515625" bestFit="1" customWidth="1"/>
    <col min="12042" max="12043" width="9.28515625" bestFit="1" customWidth="1"/>
    <col min="12045" max="12045" width="10.28515625" bestFit="1" customWidth="1"/>
    <col min="12046" max="12047" width="9.28515625" bestFit="1" customWidth="1"/>
    <col min="12049" max="12049" width="10.28515625" bestFit="1" customWidth="1"/>
    <col min="12050" max="12051" width="9.28515625" bestFit="1" customWidth="1"/>
    <col min="12053" max="12053" width="10.28515625" bestFit="1" customWidth="1"/>
    <col min="12054" max="12055" width="9.28515625" bestFit="1" customWidth="1"/>
    <col min="12057" max="12057" width="10.28515625" bestFit="1" customWidth="1"/>
    <col min="12058" max="12059" width="9.28515625" bestFit="1" customWidth="1"/>
    <col min="12061" max="12061" width="10.28515625" bestFit="1" customWidth="1"/>
    <col min="12062" max="12063" width="9.28515625" bestFit="1" customWidth="1"/>
    <col min="12065" max="12065" width="10.28515625" bestFit="1" customWidth="1"/>
    <col min="12066" max="12067" width="9.28515625" bestFit="1" customWidth="1"/>
    <col min="12069" max="12069" width="10.28515625" bestFit="1" customWidth="1"/>
    <col min="12070" max="12071" width="9.28515625" bestFit="1" customWidth="1"/>
    <col min="12073" max="12073" width="10.28515625" bestFit="1" customWidth="1"/>
    <col min="12074" max="12075" width="9.28515625" bestFit="1" customWidth="1"/>
    <col min="12077" max="12077" width="10.28515625" bestFit="1" customWidth="1"/>
    <col min="12078" max="12079" width="9.28515625" bestFit="1" customWidth="1"/>
    <col min="12081" max="12081" width="10.28515625" bestFit="1" customWidth="1"/>
    <col min="12082" max="12083" width="9.28515625" bestFit="1" customWidth="1"/>
    <col min="12085" max="12085" width="10.28515625" bestFit="1" customWidth="1"/>
    <col min="12086" max="12087" width="9.28515625" bestFit="1" customWidth="1"/>
    <col min="12089" max="12089" width="10.28515625" bestFit="1" customWidth="1"/>
    <col min="12090" max="12091" width="9.28515625" bestFit="1" customWidth="1"/>
    <col min="12093" max="12093" width="10.28515625" bestFit="1" customWidth="1"/>
    <col min="12094" max="12095" width="9.28515625" bestFit="1" customWidth="1"/>
    <col min="12097" max="12097" width="10.28515625" bestFit="1" customWidth="1"/>
    <col min="12098" max="12099" width="9.28515625" bestFit="1" customWidth="1"/>
    <col min="12101" max="12101" width="10.28515625" bestFit="1" customWidth="1"/>
    <col min="12102" max="12103" width="9.28515625" bestFit="1" customWidth="1"/>
    <col min="12105" max="12105" width="10.28515625" bestFit="1" customWidth="1"/>
    <col min="12106" max="12107" width="9.28515625" bestFit="1" customWidth="1"/>
    <col min="12109" max="12109" width="10.28515625" bestFit="1" customWidth="1"/>
    <col min="12110" max="12111" width="9.28515625" bestFit="1" customWidth="1"/>
    <col min="12113" max="12113" width="10.28515625" bestFit="1" customWidth="1"/>
    <col min="12114" max="12115" width="9.28515625" bestFit="1" customWidth="1"/>
    <col min="12117" max="12117" width="10.28515625" bestFit="1" customWidth="1"/>
    <col min="12118" max="12119" width="9.28515625" bestFit="1" customWidth="1"/>
    <col min="12121" max="12121" width="10.28515625" bestFit="1" customWidth="1"/>
    <col min="12122" max="12123" width="9.28515625" bestFit="1" customWidth="1"/>
    <col min="12125" max="12125" width="10.28515625" bestFit="1" customWidth="1"/>
    <col min="12126" max="12127" width="9.28515625" bestFit="1" customWidth="1"/>
    <col min="12129" max="12129" width="10.28515625" bestFit="1" customWidth="1"/>
    <col min="12130" max="12131" width="9.28515625" bestFit="1" customWidth="1"/>
    <col min="12133" max="12133" width="10.28515625" bestFit="1" customWidth="1"/>
    <col min="12134" max="12135" width="9.28515625" bestFit="1" customWidth="1"/>
    <col min="12137" max="12137" width="10.28515625" bestFit="1" customWidth="1"/>
    <col min="12138" max="12139" width="9.28515625" bestFit="1" customWidth="1"/>
    <col min="12141" max="12141" width="10.28515625" bestFit="1" customWidth="1"/>
    <col min="12142" max="12143" width="9.28515625" bestFit="1" customWidth="1"/>
    <col min="12145" max="12145" width="10.28515625" bestFit="1" customWidth="1"/>
    <col min="12146" max="12147" width="9.28515625" bestFit="1" customWidth="1"/>
    <col min="12149" max="12149" width="10.28515625" bestFit="1" customWidth="1"/>
    <col min="12150" max="12151" width="9.28515625" bestFit="1" customWidth="1"/>
    <col min="12153" max="12153" width="10.28515625" bestFit="1" customWidth="1"/>
    <col min="12154" max="12155" width="9.28515625" bestFit="1" customWidth="1"/>
    <col min="12157" max="12157" width="10.28515625" bestFit="1" customWidth="1"/>
    <col min="12158" max="12159" width="9.28515625" bestFit="1" customWidth="1"/>
    <col min="12161" max="12161" width="10.28515625" bestFit="1" customWidth="1"/>
    <col min="12162" max="12163" width="9.28515625" bestFit="1" customWidth="1"/>
    <col min="12165" max="12165" width="10.28515625" bestFit="1" customWidth="1"/>
    <col min="12166" max="12167" width="9.28515625" bestFit="1" customWidth="1"/>
    <col min="12169" max="12169" width="10.28515625" bestFit="1" customWidth="1"/>
    <col min="12170" max="12171" width="9.28515625" bestFit="1" customWidth="1"/>
    <col min="12173" max="12173" width="10.28515625" bestFit="1" customWidth="1"/>
    <col min="12174" max="12175" width="9.28515625" bestFit="1" customWidth="1"/>
    <col min="12177" max="12177" width="10.28515625" bestFit="1" customWidth="1"/>
    <col min="12178" max="12179" width="9.28515625" bestFit="1" customWidth="1"/>
    <col min="12181" max="12181" width="10.28515625" bestFit="1" customWidth="1"/>
    <col min="12182" max="12183" width="9.28515625" bestFit="1" customWidth="1"/>
    <col min="12185" max="12185" width="10.28515625" bestFit="1" customWidth="1"/>
    <col min="12186" max="12187" width="9.28515625" bestFit="1" customWidth="1"/>
    <col min="12189" max="12189" width="10.28515625" bestFit="1" customWidth="1"/>
    <col min="12190" max="12191" width="9.28515625" bestFit="1" customWidth="1"/>
    <col min="12193" max="12193" width="10.28515625" bestFit="1" customWidth="1"/>
    <col min="12194" max="12195" width="9.28515625" bestFit="1" customWidth="1"/>
    <col min="12197" max="12197" width="10.28515625" bestFit="1" customWidth="1"/>
    <col min="12198" max="12199" width="9.28515625" bestFit="1" customWidth="1"/>
    <col min="12201" max="12201" width="10.28515625" bestFit="1" customWidth="1"/>
    <col min="12202" max="12203" width="9.28515625" bestFit="1" customWidth="1"/>
    <col min="12205" max="12205" width="10.28515625" bestFit="1" customWidth="1"/>
    <col min="12206" max="12207" width="9.28515625" bestFit="1" customWidth="1"/>
    <col min="12209" max="12209" width="10.28515625" bestFit="1" customWidth="1"/>
    <col min="12210" max="12211" width="9.28515625" bestFit="1" customWidth="1"/>
    <col min="12213" max="12213" width="10.28515625" bestFit="1" customWidth="1"/>
    <col min="12214" max="12215" width="9.28515625" bestFit="1" customWidth="1"/>
    <col min="12217" max="12217" width="10.28515625" bestFit="1" customWidth="1"/>
    <col min="12218" max="12219" width="9.28515625" bestFit="1" customWidth="1"/>
    <col min="12221" max="12221" width="10.28515625" bestFit="1" customWidth="1"/>
    <col min="12222" max="12223" width="9.28515625" bestFit="1" customWidth="1"/>
    <col min="12225" max="12225" width="10.28515625" bestFit="1" customWidth="1"/>
    <col min="12226" max="12227" width="9.28515625" bestFit="1" customWidth="1"/>
    <col min="12229" max="12229" width="10.28515625" bestFit="1" customWidth="1"/>
    <col min="12230" max="12231" width="9.28515625" bestFit="1" customWidth="1"/>
    <col min="12233" max="12233" width="10.28515625" bestFit="1" customWidth="1"/>
    <col min="12234" max="12235" width="9.28515625" bestFit="1" customWidth="1"/>
    <col min="12237" max="12237" width="10.28515625" bestFit="1" customWidth="1"/>
    <col min="12238" max="12239" width="9.28515625" bestFit="1" customWidth="1"/>
    <col min="12241" max="12241" width="10.28515625" bestFit="1" customWidth="1"/>
    <col min="12242" max="12243" width="9.28515625" bestFit="1" customWidth="1"/>
    <col min="12245" max="12245" width="10.28515625" bestFit="1" customWidth="1"/>
    <col min="12246" max="12247" width="9.28515625" bestFit="1" customWidth="1"/>
    <col min="12249" max="12249" width="10.28515625" bestFit="1" customWidth="1"/>
    <col min="12250" max="12251" width="9.28515625" bestFit="1" customWidth="1"/>
    <col min="12253" max="12253" width="10.28515625" bestFit="1" customWidth="1"/>
    <col min="12254" max="12255" width="9.28515625" bestFit="1" customWidth="1"/>
    <col min="12257" max="12257" width="10.28515625" bestFit="1" customWidth="1"/>
    <col min="12258" max="12259" width="9.28515625" bestFit="1" customWidth="1"/>
    <col min="12261" max="12261" width="10.28515625" bestFit="1" customWidth="1"/>
    <col min="12262" max="12263" width="9.28515625" bestFit="1" customWidth="1"/>
    <col min="12265" max="12265" width="10.28515625" bestFit="1" customWidth="1"/>
    <col min="12266" max="12267" width="9.28515625" bestFit="1" customWidth="1"/>
    <col min="12269" max="12269" width="10.28515625" bestFit="1" customWidth="1"/>
    <col min="12270" max="12271" width="9.28515625" bestFit="1" customWidth="1"/>
    <col min="12273" max="12273" width="10.28515625" bestFit="1" customWidth="1"/>
    <col min="12274" max="12275" width="9.28515625" bestFit="1" customWidth="1"/>
    <col min="12277" max="12277" width="10.28515625" bestFit="1" customWidth="1"/>
    <col min="12278" max="12279" width="9.28515625" bestFit="1" customWidth="1"/>
    <col min="12281" max="12281" width="10.28515625" bestFit="1" customWidth="1"/>
    <col min="12282" max="12283" width="9.28515625" bestFit="1" customWidth="1"/>
    <col min="12285" max="12285" width="10.28515625" bestFit="1" customWidth="1"/>
    <col min="12286" max="12287" width="9.28515625" bestFit="1" customWidth="1"/>
    <col min="12289" max="12289" width="10.28515625" bestFit="1" customWidth="1"/>
    <col min="12290" max="12291" width="9.28515625" bestFit="1" customWidth="1"/>
    <col min="12293" max="12293" width="10.28515625" bestFit="1" customWidth="1"/>
    <col min="12294" max="12295" width="9.28515625" bestFit="1" customWidth="1"/>
    <col min="12297" max="12297" width="10.28515625" bestFit="1" customWidth="1"/>
    <col min="12298" max="12299" width="9.28515625" bestFit="1" customWidth="1"/>
    <col min="12301" max="12301" width="10.28515625" bestFit="1" customWidth="1"/>
    <col min="12302" max="12303" width="9.28515625" bestFit="1" customWidth="1"/>
    <col min="12305" max="12305" width="10.28515625" bestFit="1" customWidth="1"/>
    <col min="12306" max="12307" width="9.28515625" bestFit="1" customWidth="1"/>
    <col min="12309" max="12309" width="10.28515625" bestFit="1" customWidth="1"/>
    <col min="12310" max="12311" width="9.28515625" bestFit="1" customWidth="1"/>
    <col min="12313" max="12313" width="10.28515625" bestFit="1" customWidth="1"/>
    <col min="12314" max="12315" width="9.28515625" bestFit="1" customWidth="1"/>
    <col min="12317" max="12317" width="10.28515625" bestFit="1" customWidth="1"/>
    <col min="12318" max="12319" width="9.28515625" bestFit="1" customWidth="1"/>
    <col min="12321" max="12321" width="10.28515625" bestFit="1" customWidth="1"/>
    <col min="12322" max="12323" width="9.28515625" bestFit="1" customWidth="1"/>
    <col min="12325" max="12325" width="10.28515625" bestFit="1" customWidth="1"/>
    <col min="12326" max="12327" width="9.28515625" bestFit="1" customWidth="1"/>
    <col min="12329" max="12329" width="10.28515625" bestFit="1" customWidth="1"/>
    <col min="12330" max="12331" width="9.28515625" bestFit="1" customWidth="1"/>
    <col min="12333" max="12333" width="10.28515625" bestFit="1" customWidth="1"/>
    <col min="12334" max="12335" width="9.28515625" bestFit="1" customWidth="1"/>
    <col min="12337" max="12337" width="10.28515625" bestFit="1" customWidth="1"/>
    <col min="12338" max="12339" width="9.28515625" bestFit="1" customWidth="1"/>
    <col min="12341" max="12341" width="10.28515625" bestFit="1" customWidth="1"/>
    <col min="12342" max="12343" width="9.28515625" bestFit="1" customWidth="1"/>
    <col min="12345" max="12345" width="10.28515625" bestFit="1" customWidth="1"/>
    <col min="12346" max="12347" width="9.28515625" bestFit="1" customWidth="1"/>
    <col min="12349" max="12349" width="10.28515625" bestFit="1" customWidth="1"/>
    <col min="12350" max="12351" width="9.28515625" bestFit="1" customWidth="1"/>
    <col min="12353" max="12353" width="10.28515625" bestFit="1" customWidth="1"/>
    <col min="12354" max="12355" width="9.28515625" bestFit="1" customWidth="1"/>
    <col min="12357" max="12357" width="10.28515625" bestFit="1" customWidth="1"/>
    <col min="12358" max="12359" width="9.28515625" bestFit="1" customWidth="1"/>
    <col min="12361" max="12361" width="10.28515625" bestFit="1" customWidth="1"/>
    <col min="12362" max="12363" width="9.28515625" bestFit="1" customWidth="1"/>
    <col min="12365" max="12365" width="10.28515625" bestFit="1" customWidth="1"/>
    <col min="12366" max="12367" width="9.28515625" bestFit="1" customWidth="1"/>
    <col min="12369" max="12369" width="10.28515625" bestFit="1" customWidth="1"/>
    <col min="12370" max="12371" width="9.28515625" bestFit="1" customWidth="1"/>
    <col min="12373" max="12373" width="10.28515625" bestFit="1" customWidth="1"/>
    <col min="12374" max="12375" width="9.28515625" bestFit="1" customWidth="1"/>
    <col min="12377" max="12377" width="10.28515625" bestFit="1" customWidth="1"/>
    <col min="12378" max="12379" width="9.28515625" bestFit="1" customWidth="1"/>
    <col min="12381" max="12381" width="10.28515625" bestFit="1" customWidth="1"/>
    <col min="12382" max="12383" width="9.28515625" bestFit="1" customWidth="1"/>
    <col min="12385" max="12385" width="10.28515625" bestFit="1" customWidth="1"/>
    <col min="12386" max="12387" width="9.28515625" bestFit="1" customWidth="1"/>
    <col min="12389" max="12389" width="10.28515625" bestFit="1" customWidth="1"/>
    <col min="12390" max="12391" width="9.28515625" bestFit="1" customWidth="1"/>
    <col min="12393" max="12393" width="10.28515625" bestFit="1" customWidth="1"/>
    <col min="12394" max="12395" width="9.28515625" bestFit="1" customWidth="1"/>
    <col min="12397" max="12397" width="10.28515625" bestFit="1" customWidth="1"/>
    <col min="12398" max="12399" width="9.28515625" bestFit="1" customWidth="1"/>
    <col min="12401" max="12401" width="10.28515625" bestFit="1" customWidth="1"/>
    <col min="12402" max="12403" width="9.28515625" bestFit="1" customWidth="1"/>
    <col min="12405" max="12405" width="10.28515625" bestFit="1" customWidth="1"/>
    <col min="12406" max="12407" width="9.28515625" bestFit="1" customWidth="1"/>
    <col min="12409" max="12409" width="10.28515625" bestFit="1" customWidth="1"/>
    <col min="12410" max="12411" width="9.28515625" bestFit="1" customWidth="1"/>
    <col min="12413" max="12413" width="10.28515625" bestFit="1" customWidth="1"/>
    <col min="12414" max="12415" width="9.28515625" bestFit="1" customWidth="1"/>
    <col min="12417" max="12417" width="10.28515625" bestFit="1" customWidth="1"/>
    <col min="12418" max="12419" width="9.28515625" bestFit="1" customWidth="1"/>
    <col min="12421" max="12421" width="10.28515625" bestFit="1" customWidth="1"/>
    <col min="12422" max="12423" width="9.28515625" bestFit="1" customWidth="1"/>
    <col min="12425" max="12425" width="10.28515625" bestFit="1" customWidth="1"/>
    <col min="12426" max="12427" width="9.28515625" bestFit="1" customWidth="1"/>
    <col min="12429" max="12429" width="10.28515625" bestFit="1" customWidth="1"/>
    <col min="12430" max="12431" width="9.28515625" bestFit="1" customWidth="1"/>
    <col min="12433" max="12433" width="10.28515625" bestFit="1" customWidth="1"/>
    <col min="12434" max="12435" width="9.28515625" bestFit="1" customWidth="1"/>
    <col min="12437" max="12437" width="10.28515625" bestFit="1" customWidth="1"/>
    <col min="12438" max="12439" width="9.28515625" bestFit="1" customWidth="1"/>
    <col min="12441" max="12441" width="10.28515625" bestFit="1" customWidth="1"/>
    <col min="12442" max="12443" width="9.28515625" bestFit="1" customWidth="1"/>
    <col min="12445" max="12445" width="10.28515625" bestFit="1" customWidth="1"/>
    <col min="12446" max="12447" width="9.28515625" bestFit="1" customWidth="1"/>
    <col min="12449" max="12449" width="10.28515625" bestFit="1" customWidth="1"/>
    <col min="12450" max="12451" width="9.28515625" bestFit="1" customWidth="1"/>
    <col min="12453" max="12453" width="10.28515625" bestFit="1" customWidth="1"/>
    <col min="12454" max="12455" width="9.28515625" bestFit="1" customWidth="1"/>
    <col min="12457" max="12457" width="10.28515625" bestFit="1" customWidth="1"/>
    <col min="12458" max="12459" width="9.28515625" bestFit="1" customWidth="1"/>
    <col min="12461" max="12461" width="10.28515625" bestFit="1" customWidth="1"/>
    <col min="12462" max="12463" width="9.28515625" bestFit="1" customWidth="1"/>
    <col min="12465" max="12465" width="10.28515625" bestFit="1" customWidth="1"/>
    <col min="12466" max="12467" width="9.28515625" bestFit="1" customWidth="1"/>
    <col min="12469" max="12469" width="10.28515625" bestFit="1" customWidth="1"/>
    <col min="12470" max="12471" width="9.28515625" bestFit="1" customWidth="1"/>
    <col min="12473" max="12473" width="10.28515625" bestFit="1" customWidth="1"/>
    <col min="12474" max="12475" width="9.28515625" bestFit="1" customWidth="1"/>
    <col min="12477" max="12477" width="10.28515625" bestFit="1" customWidth="1"/>
    <col min="12478" max="12479" width="9.28515625" bestFit="1" customWidth="1"/>
    <col min="12481" max="12481" width="10.28515625" bestFit="1" customWidth="1"/>
    <col min="12482" max="12483" width="9.28515625" bestFit="1" customWidth="1"/>
    <col min="12485" max="12485" width="10.28515625" bestFit="1" customWidth="1"/>
    <col min="12486" max="12487" width="9.28515625" bestFit="1" customWidth="1"/>
    <col min="12489" max="12489" width="10.28515625" bestFit="1" customWidth="1"/>
    <col min="12490" max="12491" width="9.28515625" bestFit="1" customWidth="1"/>
    <col min="12493" max="12493" width="10.28515625" bestFit="1" customWidth="1"/>
    <col min="12494" max="12495" width="9.28515625" bestFit="1" customWidth="1"/>
    <col min="12497" max="12497" width="10.28515625" bestFit="1" customWidth="1"/>
    <col min="12498" max="12499" width="9.28515625" bestFit="1" customWidth="1"/>
    <col min="12501" max="12501" width="10.28515625" bestFit="1" customWidth="1"/>
    <col min="12502" max="12503" width="9.28515625" bestFit="1" customWidth="1"/>
    <col min="12505" max="12505" width="10.28515625" bestFit="1" customWidth="1"/>
    <col min="12506" max="12507" width="9.28515625" bestFit="1" customWidth="1"/>
    <col min="12509" max="12509" width="10.28515625" bestFit="1" customWidth="1"/>
    <col min="12510" max="12511" width="9.28515625" bestFit="1" customWidth="1"/>
    <col min="12513" max="12513" width="10.28515625" bestFit="1" customWidth="1"/>
    <col min="12514" max="12515" width="9.28515625" bestFit="1" customWidth="1"/>
    <col min="12517" max="12517" width="10.28515625" bestFit="1" customWidth="1"/>
    <col min="12518" max="12519" width="9.28515625" bestFit="1" customWidth="1"/>
    <col min="12521" max="12521" width="10.28515625" bestFit="1" customWidth="1"/>
    <col min="12522" max="12523" width="9.28515625" bestFit="1" customWidth="1"/>
    <col min="12525" max="12525" width="10.28515625" bestFit="1" customWidth="1"/>
    <col min="12526" max="12527" width="9.28515625" bestFit="1" customWidth="1"/>
    <col min="12529" max="12529" width="10.28515625" bestFit="1" customWidth="1"/>
    <col min="12530" max="12531" width="9.28515625" bestFit="1" customWidth="1"/>
    <col min="12533" max="12533" width="10.28515625" bestFit="1" customWidth="1"/>
    <col min="12534" max="12535" width="9.28515625" bestFit="1" customWidth="1"/>
    <col min="12537" max="12537" width="10.28515625" bestFit="1" customWidth="1"/>
    <col min="12538" max="12539" width="9.28515625" bestFit="1" customWidth="1"/>
    <col min="12541" max="12541" width="10.28515625" bestFit="1" customWidth="1"/>
    <col min="12542" max="12543" width="9.28515625" bestFit="1" customWidth="1"/>
    <col min="12545" max="12545" width="10.28515625" bestFit="1" customWidth="1"/>
    <col min="12546" max="12547" width="9.28515625" bestFit="1" customWidth="1"/>
    <col min="12549" max="12549" width="10.28515625" bestFit="1" customWidth="1"/>
    <col min="12550" max="12551" width="9.28515625" bestFit="1" customWidth="1"/>
    <col min="12553" max="12553" width="10.28515625" bestFit="1" customWidth="1"/>
    <col min="12554" max="12555" width="9.28515625" bestFit="1" customWidth="1"/>
    <col min="12557" max="12557" width="10.28515625" bestFit="1" customWidth="1"/>
    <col min="12558" max="12559" width="9.28515625" bestFit="1" customWidth="1"/>
    <col min="12561" max="12561" width="10.28515625" bestFit="1" customWidth="1"/>
    <col min="12562" max="12563" width="9.28515625" bestFit="1" customWidth="1"/>
    <col min="12565" max="12565" width="10.28515625" bestFit="1" customWidth="1"/>
    <col min="12566" max="12567" width="9.28515625" bestFit="1" customWidth="1"/>
    <col min="12569" max="12569" width="10.28515625" bestFit="1" customWidth="1"/>
    <col min="12570" max="12571" width="9.28515625" bestFit="1" customWidth="1"/>
    <col min="12573" max="12573" width="10.28515625" bestFit="1" customWidth="1"/>
    <col min="12574" max="12575" width="9.28515625" bestFit="1" customWidth="1"/>
    <col min="12577" max="12577" width="10.28515625" bestFit="1" customWidth="1"/>
    <col min="12578" max="12579" width="9.28515625" bestFit="1" customWidth="1"/>
    <col min="12581" max="12581" width="10.28515625" bestFit="1" customWidth="1"/>
    <col min="12582" max="12583" width="9.28515625" bestFit="1" customWidth="1"/>
    <col min="12585" max="12585" width="10.28515625" bestFit="1" customWidth="1"/>
    <col min="12586" max="12587" width="9.28515625" bestFit="1" customWidth="1"/>
    <col min="12589" max="12589" width="10.28515625" bestFit="1" customWidth="1"/>
    <col min="12590" max="12591" width="9.28515625" bestFit="1" customWidth="1"/>
    <col min="12593" max="12593" width="10.28515625" bestFit="1" customWidth="1"/>
    <col min="12594" max="12595" width="9.28515625" bestFit="1" customWidth="1"/>
    <col min="12597" max="12597" width="10.28515625" bestFit="1" customWidth="1"/>
    <col min="12598" max="12599" width="9.28515625" bestFit="1" customWidth="1"/>
    <col min="12601" max="12601" width="10.28515625" bestFit="1" customWidth="1"/>
    <col min="12602" max="12603" width="9.28515625" bestFit="1" customWidth="1"/>
    <col min="12605" max="12605" width="10.28515625" bestFit="1" customWidth="1"/>
    <col min="12606" max="12607" width="9.28515625" bestFit="1" customWidth="1"/>
    <col min="12609" max="12609" width="10.28515625" bestFit="1" customWidth="1"/>
    <col min="12610" max="12611" width="9.28515625" bestFit="1" customWidth="1"/>
    <col min="12613" max="12613" width="10.28515625" bestFit="1" customWidth="1"/>
    <col min="12614" max="12615" width="9.28515625" bestFit="1" customWidth="1"/>
    <col min="12617" max="12617" width="10.28515625" bestFit="1" customWidth="1"/>
    <col min="12618" max="12619" width="9.28515625" bestFit="1" customWidth="1"/>
    <col min="12621" max="12621" width="10.28515625" bestFit="1" customWidth="1"/>
    <col min="12622" max="12623" width="9.28515625" bestFit="1" customWidth="1"/>
    <col min="12625" max="12625" width="10.28515625" bestFit="1" customWidth="1"/>
    <col min="12626" max="12627" width="9.28515625" bestFit="1" customWidth="1"/>
    <col min="12629" max="12629" width="10.28515625" bestFit="1" customWidth="1"/>
    <col min="12630" max="12631" width="9.28515625" bestFit="1" customWidth="1"/>
    <col min="12633" max="12633" width="10.28515625" bestFit="1" customWidth="1"/>
    <col min="12634" max="12635" width="9.28515625" bestFit="1" customWidth="1"/>
    <col min="12637" max="12637" width="10.28515625" bestFit="1" customWidth="1"/>
    <col min="12638" max="12639" width="9.28515625" bestFit="1" customWidth="1"/>
    <col min="12641" max="12641" width="10.28515625" bestFit="1" customWidth="1"/>
    <col min="12642" max="12643" width="9.28515625" bestFit="1" customWidth="1"/>
    <col min="12645" max="12645" width="10.28515625" bestFit="1" customWidth="1"/>
    <col min="12646" max="12647" width="9.28515625" bestFit="1" customWidth="1"/>
    <col min="12649" max="12649" width="10.28515625" bestFit="1" customWidth="1"/>
    <col min="12650" max="12651" width="9.28515625" bestFit="1" customWidth="1"/>
    <col min="12653" max="12653" width="10.28515625" bestFit="1" customWidth="1"/>
    <col min="12654" max="12655" width="9.28515625" bestFit="1" customWidth="1"/>
    <col min="12657" max="12657" width="10.28515625" bestFit="1" customWidth="1"/>
    <col min="12658" max="12659" width="9.28515625" bestFit="1" customWidth="1"/>
    <col min="12661" max="12661" width="10.28515625" bestFit="1" customWidth="1"/>
    <col min="12662" max="12663" width="9.28515625" bestFit="1" customWidth="1"/>
    <col min="12665" max="12665" width="10.28515625" bestFit="1" customWidth="1"/>
    <col min="12666" max="12667" width="9.28515625" bestFit="1" customWidth="1"/>
    <col min="12669" max="12669" width="10.28515625" bestFit="1" customWidth="1"/>
    <col min="12670" max="12671" width="9.28515625" bestFit="1" customWidth="1"/>
    <col min="12673" max="12673" width="10.28515625" bestFit="1" customWidth="1"/>
    <col min="12674" max="12675" width="9.28515625" bestFit="1" customWidth="1"/>
    <col min="12677" max="12677" width="10.28515625" bestFit="1" customWidth="1"/>
    <col min="12678" max="12679" width="9.28515625" bestFit="1" customWidth="1"/>
    <col min="12681" max="12681" width="10.28515625" bestFit="1" customWidth="1"/>
    <col min="12682" max="12683" width="9.28515625" bestFit="1" customWidth="1"/>
    <col min="12685" max="12685" width="10.28515625" bestFit="1" customWidth="1"/>
    <col min="12686" max="12687" width="9.28515625" bestFit="1" customWidth="1"/>
    <col min="12689" max="12689" width="10.28515625" bestFit="1" customWidth="1"/>
    <col min="12690" max="12691" width="9.28515625" bestFit="1" customWidth="1"/>
    <col min="12693" max="12693" width="10.28515625" bestFit="1" customWidth="1"/>
    <col min="12694" max="12695" width="9.28515625" bestFit="1" customWidth="1"/>
    <col min="12697" max="12697" width="10.28515625" bestFit="1" customWidth="1"/>
    <col min="12698" max="12699" width="9.28515625" bestFit="1" customWidth="1"/>
    <col min="12701" max="12701" width="10.28515625" bestFit="1" customWidth="1"/>
    <col min="12702" max="12703" width="9.28515625" bestFit="1" customWidth="1"/>
    <col min="12705" max="12705" width="10.28515625" bestFit="1" customWidth="1"/>
    <col min="12706" max="12707" width="9.28515625" bestFit="1" customWidth="1"/>
    <col min="12709" max="12709" width="10.28515625" bestFit="1" customWidth="1"/>
    <col min="12710" max="12711" width="9.28515625" bestFit="1" customWidth="1"/>
    <col min="12713" max="12713" width="10.28515625" bestFit="1" customWidth="1"/>
    <col min="12714" max="12715" width="9.28515625" bestFit="1" customWidth="1"/>
    <col min="12717" max="12717" width="10.28515625" bestFit="1" customWidth="1"/>
    <col min="12718" max="12719" width="9.28515625" bestFit="1" customWidth="1"/>
    <col min="12721" max="12721" width="10.28515625" bestFit="1" customWidth="1"/>
    <col min="12722" max="12723" width="9.28515625" bestFit="1" customWidth="1"/>
    <col min="12725" max="12725" width="10.28515625" bestFit="1" customWidth="1"/>
    <col min="12726" max="12727" width="9.28515625" bestFit="1" customWidth="1"/>
    <col min="12729" max="12729" width="10.28515625" bestFit="1" customWidth="1"/>
    <col min="12730" max="12731" width="9.28515625" bestFit="1" customWidth="1"/>
    <col min="12733" max="12733" width="10.28515625" bestFit="1" customWidth="1"/>
    <col min="12734" max="12735" width="9.28515625" bestFit="1" customWidth="1"/>
    <col min="12737" max="12737" width="10.28515625" bestFit="1" customWidth="1"/>
    <col min="12738" max="12739" width="9.28515625" bestFit="1" customWidth="1"/>
    <col min="12741" max="12741" width="10.28515625" bestFit="1" customWidth="1"/>
    <col min="12742" max="12743" width="9.28515625" bestFit="1" customWidth="1"/>
    <col min="12745" max="12745" width="10.28515625" bestFit="1" customWidth="1"/>
    <col min="12746" max="12747" width="9.28515625" bestFit="1" customWidth="1"/>
    <col min="12749" max="12749" width="10.28515625" bestFit="1" customWidth="1"/>
    <col min="12750" max="12751" width="9.28515625" bestFit="1" customWidth="1"/>
    <col min="12753" max="12753" width="10.28515625" bestFit="1" customWidth="1"/>
    <col min="12754" max="12755" width="9.28515625" bestFit="1" customWidth="1"/>
    <col min="12757" max="12757" width="10.28515625" bestFit="1" customWidth="1"/>
    <col min="12758" max="12759" width="9.28515625" bestFit="1" customWidth="1"/>
    <col min="12761" max="12761" width="10.28515625" bestFit="1" customWidth="1"/>
    <col min="12762" max="12763" width="9.28515625" bestFit="1" customWidth="1"/>
    <col min="12765" max="12765" width="10.28515625" bestFit="1" customWidth="1"/>
    <col min="12766" max="12767" width="9.28515625" bestFit="1" customWidth="1"/>
    <col min="12769" max="12769" width="10.28515625" bestFit="1" customWidth="1"/>
    <col min="12770" max="12771" width="9.28515625" bestFit="1" customWidth="1"/>
    <col min="12773" max="12773" width="10.28515625" bestFit="1" customWidth="1"/>
    <col min="12774" max="12775" width="9.28515625" bestFit="1" customWidth="1"/>
    <col min="12777" max="12777" width="10.28515625" bestFit="1" customWidth="1"/>
    <col min="12778" max="12779" width="9.28515625" bestFit="1" customWidth="1"/>
    <col min="12781" max="12781" width="10.28515625" bestFit="1" customWidth="1"/>
    <col min="12782" max="12783" width="9.28515625" bestFit="1" customWidth="1"/>
    <col min="12785" max="12785" width="10.28515625" bestFit="1" customWidth="1"/>
    <col min="12786" max="12787" width="9.28515625" bestFit="1" customWidth="1"/>
    <col min="12789" max="12789" width="10.28515625" bestFit="1" customWidth="1"/>
    <col min="12790" max="12791" width="9.28515625" bestFit="1" customWidth="1"/>
    <col min="12793" max="12793" width="10.28515625" bestFit="1" customWidth="1"/>
    <col min="12794" max="12795" width="9.28515625" bestFit="1" customWidth="1"/>
    <col min="12797" max="12797" width="10.28515625" bestFit="1" customWidth="1"/>
    <col min="12798" max="12799" width="9.28515625" bestFit="1" customWidth="1"/>
    <col min="12801" max="12801" width="10.28515625" bestFit="1" customWidth="1"/>
    <col min="12802" max="12803" width="9.28515625" bestFit="1" customWidth="1"/>
    <col min="12805" max="12805" width="10.28515625" bestFit="1" customWidth="1"/>
    <col min="12806" max="12807" width="9.28515625" bestFit="1" customWidth="1"/>
    <col min="12809" max="12809" width="10.28515625" bestFit="1" customWidth="1"/>
    <col min="12810" max="12811" width="9.28515625" bestFit="1" customWidth="1"/>
    <col min="12813" max="12813" width="10.28515625" bestFit="1" customWidth="1"/>
    <col min="12814" max="12815" width="9.28515625" bestFit="1" customWidth="1"/>
    <col min="12817" max="12817" width="10.28515625" bestFit="1" customWidth="1"/>
    <col min="12818" max="12819" width="9.28515625" bestFit="1" customWidth="1"/>
    <col min="12821" max="12821" width="10.28515625" bestFit="1" customWidth="1"/>
    <col min="12822" max="12823" width="9.28515625" bestFit="1" customWidth="1"/>
    <col min="12825" max="12825" width="10.28515625" bestFit="1" customWidth="1"/>
    <col min="12826" max="12827" width="9.28515625" bestFit="1" customWidth="1"/>
    <col min="12829" max="12829" width="10.28515625" bestFit="1" customWidth="1"/>
    <col min="12830" max="12831" width="9.28515625" bestFit="1" customWidth="1"/>
    <col min="12833" max="12833" width="10.28515625" bestFit="1" customWidth="1"/>
    <col min="12834" max="12835" width="9.28515625" bestFit="1" customWidth="1"/>
    <col min="12837" max="12837" width="10.28515625" bestFit="1" customWidth="1"/>
    <col min="12838" max="12839" width="9.28515625" bestFit="1" customWidth="1"/>
    <col min="12841" max="12841" width="10.28515625" bestFit="1" customWidth="1"/>
    <col min="12842" max="12843" width="9.28515625" bestFit="1" customWidth="1"/>
    <col min="12845" max="12845" width="10.28515625" bestFit="1" customWidth="1"/>
    <col min="12846" max="12847" width="9.28515625" bestFit="1" customWidth="1"/>
    <col min="12849" max="12849" width="10.28515625" bestFit="1" customWidth="1"/>
    <col min="12850" max="12851" width="9.28515625" bestFit="1" customWidth="1"/>
    <col min="12853" max="12853" width="10.28515625" bestFit="1" customWidth="1"/>
    <col min="12854" max="12855" width="9.28515625" bestFit="1" customWidth="1"/>
    <col min="12857" max="12857" width="10.28515625" bestFit="1" customWidth="1"/>
    <col min="12858" max="12859" width="9.28515625" bestFit="1" customWidth="1"/>
    <col min="12861" max="12861" width="10.28515625" bestFit="1" customWidth="1"/>
    <col min="12862" max="12863" width="9.28515625" bestFit="1" customWidth="1"/>
    <col min="12865" max="12865" width="10.28515625" bestFit="1" customWidth="1"/>
    <col min="12866" max="12867" width="9.28515625" bestFit="1" customWidth="1"/>
    <col min="12869" max="12869" width="10.28515625" bestFit="1" customWidth="1"/>
    <col min="12870" max="12871" width="9.28515625" bestFit="1" customWidth="1"/>
    <col min="12873" max="12873" width="10.28515625" bestFit="1" customWidth="1"/>
    <col min="12874" max="12875" width="9.28515625" bestFit="1" customWidth="1"/>
    <col min="12877" max="12877" width="10.28515625" bestFit="1" customWidth="1"/>
    <col min="12878" max="12879" width="9.28515625" bestFit="1" customWidth="1"/>
    <col min="12881" max="12881" width="10.28515625" bestFit="1" customWidth="1"/>
    <col min="12882" max="12883" width="9.28515625" bestFit="1" customWidth="1"/>
    <col min="12885" max="12885" width="10.28515625" bestFit="1" customWidth="1"/>
    <col min="12886" max="12887" width="9.28515625" bestFit="1" customWidth="1"/>
    <col min="12889" max="12889" width="10.28515625" bestFit="1" customWidth="1"/>
    <col min="12890" max="12891" width="9.28515625" bestFit="1" customWidth="1"/>
    <col min="12893" max="12893" width="10.28515625" bestFit="1" customWidth="1"/>
    <col min="12894" max="12895" width="9.28515625" bestFit="1" customWidth="1"/>
    <col min="12897" max="12897" width="10.28515625" bestFit="1" customWidth="1"/>
    <col min="12898" max="12899" width="9.28515625" bestFit="1" customWidth="1"/>
    <col min="12901" max="12901" width="10.28515625" bestFit="1" customWidth="1"/>
    <col min="12902" max="12903" width="9.28515625" bestFit="1" customWidth="1"/>
    <col min="12905" max="12905" width="10.28515625" bestFit="1" customWidth="1"/>
    <col min="12906" max="12907" width="9.28515625" bestFit="1" customWidth="1"/>
    <col min="12909" max="12909" width="10.28515625" bestFit="1" customWidth="1"/>
    <col min="12910" max="12911" width="9.28515625" bestFit="1" customWidth="1"/>
    <col min="12913" max="12913" width="10.28515625" bestFit="1" customWidth="1"/>
    <col min="12914" max="12915" width="9.28515625" bestFit="1" customWidth="1"/>
    <col min="12917" max="12917" width="10.28515625" bestFit="1" customWidth="1"/>
    <col min="12918" max="12919" width="9.28515625" bestFit="1" customWidth="1"/>
    <col min="12921" max="12921" width="10.28515625" bestFit="1" customWidth="1"/>
    <col min="12922" max="12923" width="9.28515625" bestFit="1" customWidth="1"/>
    <col min="12925" max="12925" width="10.28515625" bestFit="1" customWidth="1"/>
    <col min="12926" max="12927" width="9.28515625" bestFit="1" customWidth="1"/>
    <col min="12929" max="12929" width="10.28515625" bestFit="1" customWidth="1"/>
    <col min="12930" max="12931" width="9.28515625" bestFit="1" customWidth="1"/>
    <col min="12933" max="12933" width="10.28515625" bestFit="1" customWidth="1"/>
    <col min="12934" max="12935" width="9.28515625" bestFit="1" customWidth="1"/>
    <col min="12937" max="12937" width="10.28515625" bestFit="1" customWidth="1"/>
    <col min="12938" max="12939" width="9.28515625" bestFit="1" customWidth="1"/>
    <col min="12941" max="12941" width="10.28515625" bestFit="1" customWidth="1"/>
    <col min="12942" max="12943" width="9.28515625" bestFit="1" customWidth="1"/>
    <col min="12945" max="12945" width="10.28515625" bestFit="1" customWidth="1"/>
    <col min="12946" max="12947" width="9.28515625" bestFit="1" customWidth="1"/>
    <col min="12949" max="12949" width="10.28515625" bestFit="1" customWidth="1"/>
    <col min="12950" max="12951" width="9.28515625" bestFit="1" customWidth="1"/>
    <col min="12953" max="12953" width="10.28515625" bestFit="1" customWidth="1"/>
    <col min="12954" max="12955" width="9.28515625" bestFit="1" customWidth="1"/>
    <col min="12957" max="12957" width="10.28515625" bestFit="1" customWidth="1"/>
    <col min="12958" max="12959" width="9.28515625" bestFit="1" customWidth="1"/>
    <col min="12961" max="12961" width="10.28515625" bestFit="1" customWidth="1"/>
    <col min="12962" max="12963" width="9.28515625" bestFit="1" customWidth="1"/>
    <col min="12965" max="12965" width="10.28515625" bestFit="1" customWidth="1"/>
    <col min="12966" max="12967" width="9.28515625" bestFit="1" customWidth="1"/>
    <col min="12969" max="12969" width="10.28515625" bestFit="1" customWidth="1"/>
    <col min="12970" max="12971" width="9.28515625" bestFit="1" customWidth="1"/>
    <col min="12973" max="12973" width="10.28515625" bestFit="1" customWidth="1"/>
    <col min="12974" max="12975" width="9.28515625" bestFit="1" customWidth="1"/>
    <col min="12977" max="12977" width="10.28515625" bestFit="1" customWidth="1"/>
    <col min="12978" max="12979" width="9.28515625" bestFit="1" customWidth="1"/>
    <col min="12981" max="12981" width="10.28515625" bestFit="1" customWidth="1"/>
    <col min="12982" max="12983" width="9.28515625" bestFit="1" customWidth="1"/>
    <col min="12985" max="12985" width="10.28515625" bestFit="1" customWidth="1"/>
    <col min="12986" max="12987" width="9.28515625" bestFit="1" customWidth="1"/>
    <col min="12989" max="12989" width="10.28515625" bestFit="1" customWidth="1"/>
    <col min="12990" max="12991" width="9.28515625" bestFit="1" customWidth="1"/>
    <col min="12993" max="12993" width="10.28515625" bestFit="1" customWidth="1"/>
    <col min="12994" max="12995" width="9.28515625" bestFit="1" customWidth="1"/>
    <col min="12997" max="12997" width="10.28515625" bestFit="1" customWidth="1"/>
    <col min="12998" max="12999" width="9.28515625" bestFit="1" customWidth="1"/>
    <col min="13001" max="13001" width="10.28515625" bestFit="1" customWidth="1"/>
    <col min="13002" max="13003" width="9.28515625" bestFit="1" customWidth="1"/>
    <col min="13005" max="13005" width="10.28515625" bestFit="1" customWidth="1"/>
    <col min="13006" max="13007" width="9.28515625" bestFit="1" customWidth="1"/>
    <col min="13009" max="13009" width="10.28515625" bestFit="1" customWidth="1"/>
    <col min="13010" max="13011" width="9.28515625" bestFit="1" customWidth="1"/>
    <col min="13013" max="13013" width="10.28515625" bestFit="1" customWidth="1"/>
    <col min="13014" max="13015" width="9.28515625" bestFit="1" customWidth="1"/>
    <col min="13017" max="13017" width="10.28515625" bestFit="1" customWidth="1"/>
    <col min="13018" max="13019" width="9.28515625" bestFit="1" customWidth="1"/>
    <col min="13021" max="13021" width="10.28515625" bestFit="1" customWidth="1"/>
    <col min="13022" max="13023" width="9.28515625" bestFit="1" customWidth="1"/>
    <col min="13025" max="13025" width="10.28515625" bestFit="1" customWidth="1"/>
    <col min="13026" max="13027" width="9.28515625" bestFit="1" customWidth="1"/>
    <col min="13029" max="13029" width="10.28515625" bestFit="1" customWidth="1"/>
    <col min="13030" max="13031" width="9.28515625" bestFit="1" customWidth="1"/>
    <col min="13033" max="13033" width="10.28515625" bestFit="1" customWidth="1"/>
    <col min="13034" max="13035" width="9.28515625" bestFit="1" customWidth="1"/>
    <col min="13037" max="13037" width="10.28515625" bestFit="1" customWidth="1"/>
    <col min="13038" max="13039" width="9.28515625" bestFit="1" customWidth="1"/>
    <col min="13041" max="13041" width="10.28515625" bestFit="1" customWidth="1"/>
    <col min="13042" max="13043" width="9.28515625" bestFit="1" customWidth="1"/>
    <col min="13045" max="13045" width="10.28515625" bestFit="1" customWidth="1"/>
    <col min="13046" max="13047" width="9.28515625" bestFit="1" customWidth="1"/>
    <col min="13049" max="13049" width="10.28515625" bestFit="1" customWidth="1"/>
    <col min="13050" max="13051" width="9.28515625" bestFit="1" customWidth="1"/>
    <col min="13053" max="13053" width="10.28515625" bestFit="1" customWidth="1"/>
    <col min="13054" max="13055" width="9.28515625" bestFit="1" customWidth="1"/>
    <col min="13057" max="13057" width="10.28515625" bestFit="1" customWidth="1"/>
    <col min="13058" max="13059" width="9.28515625" bestFit="1" customWidth="1"/>
    <col min="13061" max="13061" width="10.28515625" bestFit="1" customWidth="1"/>
    <col min="13062" max="13063" width="9.28515625" bestFit="1" customWidth="1"/>
    <col min="13065" max="13065" width="10.28515625" bestFit="1" customWidth="1"/>
    <col min="13066" max="13067" width="9.28515625" bestFit="1" customWidth="1"/>
    <col min="13069" max="13069" width="10.28515625" bestFit="1" customWidth="1"/>
    <col min="13070" max="13071" width="9.28515625" bestFit="1" customWidth="1"/>
    <col min="13073" max="13073" width="10.28515625" bestFit="1" customWidth="1"/>
    <col min="13074" max="13075" width="9.28515625" bestFit="1" customWidth="1"/>
    <col min="13077" max="13077" width="10.28515625" bestFit="1" customWidth="1"/>
    <col min="13078" max="13079" width="9.28515625" bestFit="1" customWidth="1"/>
    <col min="13081" max="13081" width="10.28515625" bestFit="1" customWidth="1"/>
    <col min="13082" max="13083" width="9.28515625" bestFit="1" customWidth="1"/>
    <col min="13085" max="13085" width="10.28515625" bestFit="1" customWidth="1"/>
    <col min="13086" max="13087" width="9.28515625" bestFit="1" customWidth="1"/>
    <col min="13089" max="13089" width="10.28515625" bestFit="1" customWidth="1"/>
    <col min="13090" max="13091" width="9.28515625" bestFit="1" customWidth="1"/>
    <col min="13093" max="13093" width="10.28515625" bestFit="1" customWidth="1"/>
    <col min="13094" max="13095" width="9.28515625" bestFit="1" customWidth="1"/>
    <col min="13097" max="13097" width="10.28515625" bestFit="1" customWidth="1"/>
    <col min="13098" max="13099" width="9.28515625" bestFit="1" customWidth="1"/>
    <col min="13101" max="13101" width="10.28515625" bestFit="1" customWidth="1"/>
    <col min="13102" max="13103" width="9.28515625" bestFit="1" customWidth="1"/>
    <col min="13105" max="13105" width="10.28515625" bestFit="1" customWidth="1"/>
    <col min="13106" max="13107" width="9.28515625" bestFit="1" customWidth="1"/>
    <col min="13109" max="13109" width="10.28515625" bestFit="1" customWidth="1"/>
    <col min="13110" max="13111" width="9.28515625" bestFit="1" customWidth="1"/>
    <col min="13113" max="13113" width="10.28515625" bestFit="1" customWidth="1"/>
    <col min="13114" max="13115" width="9.28515625" bestFit="1" customWidth="1"/>
    <col min="13117" max="13117" width="10.28515625" bestFit="1" customWidth="1"/>
    <col min="13118" max="13119" width="9.28515625" bestFit="1" customWidth="1"/>
    <col min="13121" max="13121" width="10.28515625" bestFit="1" customWidth="1"/>
    <col min="13122" max="13123" width="9.28515625" bestFit="1" customWidth="1"/>
    <col min="13125" max="13125" width="10.28515625" bestFit="1" customWidth="1"/>
    <col min="13126" max="13127" width="9.28515625" bestFit="1" customWidth="1"/>
    <col min="13129" max="13129" width="10.28515625" bestFit="1" customWidth="1"/>
    <col min="13130" max="13131" width="9.28515625" bestFit="1" customWidth="1"/>
    <col min="13133" max="13133" width="10.28515625" bestFit="1" customWidth="1"/>
    <col min="13134" max="13135" width="9.28515625" bestFit="1" customWidth="1"/>
    <col min="13137" max="13137" width="10.28515625" bestFit="1" customWidth="1"/>
    <col min="13138" max="13139" width="9.28515625" bestFit="1" customWidth="1"/>
    <col min="13141" max="13141" width="10.28515625" bestFit="1" customWidth="1"/>
    <col min="13142" max="13143" width="9.28515625" bestFit="1" customWidth="1"/>
    <col min="13145" max="13145" width="10.28515625" bestFit="1" customWidth="1"/>
    <col min="13146" max="13147" width="9.28515625" bestFit="1" customWidth="1"/>
    <col min="13149" max="13149" width="10.28515625" bestFit="1" customWidth="1"/>
    <col min="13150" max="13151" width="9.28515625" bestFit="1" customWidth="1"/>
    <col min="13153" max="13153" width="10.28515625" bestFit="1" customWidth="1"/>
    <col min="13154" max="13155" width="9.28515625" bestFit="1" customWidth="1"/>
    <col min="13157" max="13157" width="10.28515625" bestFit="1" customWidth="1"/>
    <col min="13158" max="13159" width="9.28515625" bestFit="1" customWidth="1"/>
    <col min="13161" max="13161" width="10.28515625" bestFit="1" customWidth="1"/>
    <col min="13162" max="13163" width="9.28515625" bestFit="1" customWidth="1"/>
    <col min="13165" max="13165" width="10.28515625" bestFit="1" customWidth="1"/>
    <col min="13166" max="13167" width="9.28515625" bestFit="1" customWidth="1"/>
    <col min="13169" max="13169" width="10.28515625" bestFit="1" customWidth="1"/>
    <col min="13170" max="13171" width="9.28515625" bestFit="1" customWidth="1"/>
    <col min="13173" max="13173" width="10.28515625" bestFit="1" customWidth="1"/>
    <col min="13174" max="13175" width="9.28515625" bestFit="1" customWidth="1"/>
    <col min="13177" max="13177" width="10.28515625" bestFit="1" customWidth="1"/>
    <col min="13178" max="13179" width="9.28515625" bestFit="1" customWidth="1"/>
    <col min="13181" max="13181" width="10.28515625" bestFit="1" customWidth="1"/>
    <col min="13182" max="13183" width="9.28515625" bestFit="1" customWidth="1"/>
    <col min="13185" max="13185" width="10.28515625" bestFit="1" customWidth="1"/>
    <col min="13186" max="13187" width="9.28515625" bestFit="1" customWidth="1"/>
    <col min="13189" max="13189" width="10.28515625" bestFit="1" customWidth="1"/>
    <col min="13190" max="13191" width="9.28515625" bestFit="1" customWidth="1"/>
    <col min="13193" max="13193" width="10.28515625" bestFit="1" customWidth="1"/>
    <col min="13194" max="13195" width="9.28515625" bestFit="1" customWidth="1"/>
    <col min="13197" max="13197" width="10.28515625" bestFit="1" customWidth="1"/>
    <col min="13198" max="13199" width="9.28515625" bestFit="1" customWidth="1"/>
    <col min="13201" max="13201" width="10.28515625" bestFit="1" customWidth="1"/>
    <col min="13202" max="13203" width="9.28515625" bestFit="1" customWidth="1"/>
    <col min="13205" max="13205" width="10.28515625" bestFit="1" customWidth="1"/>
    <col min="13206" max="13207" width="9.28515625" bestFit="1" customWidth="1"/>
    <col min="13209" max="13209" width="10.28515625" bestFit="1" customWidth="1"/>
    <col min="13210" max="13211" width="9.28515625" bestFit="1" customWidth="1"/>
    <col min="13213" max="13213" width="10.28515625" bestFit="1" customWidth="1"/>
    <col min="13214" max="13215" width="9.28515625" bestFit="1" customWidth="1"/>
    <col min="13217" max="13217" width="10.28515625" bestFit="1" customWidth="1"/>
    <col min="13218" max="13219" width="9.28515625" bestFit="1" customWidth="1"/>
    <col min="13221" max="13221" width="10.28515625" bestFit="1" customWidth="1"/>
    <col min="13222" max="13223" width="9.28515625" bestFit="1" customWidth="1"/>
    <col min="13225" max="13225" width="10.28515625" bestFit="1" customWidth="1"/>
    <col min="13226" max="13227" width="9.28515625" bestFit="1" customWidth="1"/>
    <col min="13229" max="13229" width="10.28515625" bestFit="1" customWidth="1"/>
    <col min="13230" max="13231" width="9.28515625" bestFit="1" customWidth="1"/>
    <col min="13233" max="13233" width="10.28515625" bestFit="1" customWidth="1"/>
    <col min="13234" max="13235" width="9.28515625" bestFit="1" customWidth="1"/>
    <col min="13237" max="13237" width="10.28515625" bestFit="1" customWidth="1"/>
    <col min="13238" max="13239" width="9.28515625" bestFit="1" customWidth="1"/>
    <col min="13241" max="13241" width="10.28515625" bestFit="1" customWidth="1"/>
    <col min="13242" max="13243" width="9.28515625" bestFit="1" customWidth="1"/>
    <col min="13245" max="13245" width="10.28515625" bestFit="1" customWidth="1"/>
    <col min="13246" max="13247" width="9.28515625" bestFit="1" customWidth="1"/>
    <col min="13249" max="13249" width="10.28515625" bestFit="1" customWidth="1"/>
    <col min="13250" max="13251" width="9.28515625" bestFit="1" customWidth="1"/>
    <col min="13253" max="13253" width="10.28515625" bestFit="1" customWidth="1"/>
    <col min="13254" max="13255" width="9.28515625" bestFit="1" customWidth="1"/>
    <col min="13257" max="13257" width="10.28515625" bestFit="1" customWidth="1"/>
    <col min="13258" max="13259" width="9.28515625" bestFit="1" customWidth="1"/>
    <col min="13261" max="13261" width="10.28515625" bestFit="1" customWidth="1"/>
    <col min="13262" max="13263" width="9.28515625" bestFit="1" customWidth="1"/>
    <col min="13265" max="13265" width="10.28515625" bestFit="1" customWidth="1"/>
    <col min="13266" max="13267" width="9.28515625" bestFit="1" customWidth="1"/>
    <col min="13269" max="13269" width="10.28515625" bestFit="1" customWidth="1"/>
    <col min="13270" max="13271" width="9.28515625" bestFit="1" customWidth="1"/>
    <col min="13273" max="13273" width="10.28515625" bestFit="1" customWidth="1"/>
    <col min="13274" max="13275" width="9.28515625" bestFit="1" customWidth="1"/>
    <col min="13277" max="13277" width="10.28515625" bestFit="1" customWidth="1"/>
    <col min="13278" max="13279" width="9.28515625" bestFit="1" customWidth="1"/>
    <col min="13281" max="13281" width="10.28515625" bestFit="1" customWidth="1"/>
    <col min="13282" max="13283" width="9.28515625" bestFit="1" customWidth="1"/>
    <col min="13285" max="13285" width="10.28515625" bestFit="1" customWidth="1"/>
    <col min="13286" max="13287" width="9.28515625" bestFit="1" customWidth="1"/>
    <col min="13289" max="13289" width="10.28515625" bestFit="1" customWidth="1"/>
    <col min="13290" max="13291" width="9.28515625" bestFit="1" customWidth="1"/>
    <col min="13293" max="13293" width="10.28515625" bestFit="1" customWidth="1"/>
    <col min="13294" max="13295" width="9.28515625" bestFit="1" customWidth="1"/>
    <col min="13297" max="13297" width="10.28515625" bestFit="1" customWidth="1"/>
    <col min="13298" max="13299" width="9.28515625" bestFit="1" customWidth="1"/>
    <col min="13301" max="13301" width="10.28515625" bestFit="1" customWidth="1"/>
    <col min="13302" max="13303" width="9.28515625" bestFit="1" customWidth="1"/>
    <col min="13305" max="13305" width="10.28515625" bestFit="1" customWidth="1"/>
    <col min="13306" max="13307" width="9.28515625" bestFit="1" customWidth="1"/>
    <col min="13309" max="13309" width="10.28515625" bestFit="1" customWidth="1"/>
    <col min="13310" max="13311" width="9.28515625" bestFit="1" customWidth="1"/>
    <col min="13313" max="13313" width="10.28515625" bestFit="1" customWidth="1"/>
    <col min="13314" max="13315" width="9.28515625" bestFit="1" customWidth="1"/>
    <col min="13317" max="13317" width="10.28515625" bestFit="1" customWidth="1"/>
    <col min="13318" max="13319" width="9.28515625" bestFit="1" customWidth="1"/>
    <col min="13321" max="13321" width="10.28515625" bestFit="1" customWidth="1"/>
    <col min="13322" max="13323" width="9.28515625" bestFit="1" customWidth="1"/>
    <col min="13325" max="13325" width="10.28515625" bestFit="1" customWidth="1"/>
    <col min="13326" max="13327" width="9.28515625" bestFit="1" customWidth="1"/>
    <col min="13329" max="13329" width="10.28515625" bestFit="1" customWidth="1"/>
    <col min="13330" max="13331" width="9.28515625" bestFit="1" customWidth="1"/>
    <col min="13333" max="13333" width="10.28515625" bestFit="1" customWidth="1"/>
    <col min="13334" max="13335" width="9.28515625" bestFit="1" customWidth="1"/>
    <col min="13337" max="13337" width="10.28515625" bestFit="1" customWidth="1"/>
    <col min="13338" max="13339" width="9.28515625" bestFit="1" customWidth="1"/>
    <col min="13341" max="13341" width="10.28515625" bestFit="1" customWidth="1"/>
    <col min="13342" max="13343" width="9.28515625" bestFit="1" customWidth="1"/>
    <col min="13345" max="13345" width="10.28515625" bestFit="1" customWidth="1"/>
    <col min="13346" max="13347" width="9.28515625" bestFit="1" customWidth="1"/>
    <col min="13349" max="13349" width="10.28515625" bestFit="1" customWidth="1"/>
    <col min="13350" max="13351" width="9.28515625" bestFit="1" customWidth="1"/>
    <col min="13353" max="13353" width="10.28515625" bestFit="1" customWidth="1"/>
    <col min="13354" max="13355" width="9.28515625" bestFit="1" customWidth="1"/>
    <col min="13357" max="13357" width="10.28515625" bestFit="1" customWidth="1"/>
    <col min="13358" max="13359" width="9.28515625" bestFit="1" customWidth="1"/>
    <col min="13361" max="13361" width="10.28515625" bestFit="1" customWidth="1"/>
    <col min="13362" max="13363" width="9.28515625" bestFit="1" customWidth="1"/>
    <col min="13365" max="13365" width="10.28515625" bestFit="1" customWidth="1"/>
    <col min="13366" max="13367" width="9.28515625" bestFit="1" customWidth="1"/>
    <col min="13369" max="13369" width="10.28515625" bestFit="1" customWidth="1"/>
    <col min="13370" max="13371" width="9.28515625" bestFit="1" customWidth="1"/>
    <col min="13373" max="13373" width="10.28515625" bestFit="1" customWidth="1"/>
    <col min="13374" max="13375" width="9.28515625" bestFit="1" customWidth="1"/>
    <col min="13377" max="13377" width="10.28515625" bestFit="1" customWidth="1"/>
    <col min="13378" max="13379" width="9.28515625" bestFit="1" customWidth="1"/>
    <col min="13381" max="13381" width="10.28515625" bestFit="1" customWidth="1"/>
    <col min="13382" max="13383" width="9.28515625" bestFit="1" customWidth="1"/>
    <col min="13385" max="13385" width="10.28515625" bestFit="1" customWidth="1"/>
    <col min="13386" max="13387" width="9.28515625" bestFit="1" customWidth="1"/>
    <col min="13389" max="13389" width="10.28515625" bestFit="1" customWidth="1"/>
    <col min="13390" max="13391" width="9.28515625" bestFit="1" customWidth="1"/>
    <col min="13393" max="13393" width="10.28515625" bestFit="1" customWidth="1"/>
    <col min="13394" max="13395" width="9.28515625" bestFit="1" customWidth="1"/>
    <col min="13397" max="13397" width="10.28515625" bestFit="1" customWidth="1"/>
    <col min="13398" max="13399" width="9.28515625" bestFit="1" customWidth="1"/>
    <col min="13401" max="13401" width="10.28515625" bestFit="1" customWidth="1"/>
    <col min="13402" max="13403" width="9.28515625" bestFit="1" customWidth="1"/>
    <col min="13405" max="13405" width="10.28515625" bestFit="1" customWidth="1"/>
    <col min="13406" max="13407" width="9.28515625" bestFit="1" customWidth="1"/>
    <col min="13409" max="13409" width="10.28515625" bestFit="1" customWidth="1"/>
    <col min="13410" max="13411" width="9.28515625" bestFit="1" customWidth="1"/>
    <col min="13413" max="13413" width="10.28515625" bestFit="1" customWidth="1"/>
    <col min="13414" max="13415" width="9.28515625" bestFit="1" customWidth="1"/>
    <col min="13417" max="13417" width="10.28515625" bestFit="1" customWidth="1"/>
    <col min="13418" max="13419" width="9.28515625" bestFit="1" customWidth="1"/>
    <col min="13421" max="13421" width="10.28515625" bestFit="1" customWidth="1"/>
    <col min="13422" max="13423" width="9.28515625" bestFit="1" customWidth="1"/>
    <col min="13425" max="13425" width="10.28515625" bestFit="1" customWidth="1"/>
    <col min="13426" max="13427" width="9.28515625" bestFit="1" customWidth="1"/>
    <col min="13429" max="13429" width="10.28515625" bestFit="1" customWidth="1"/>
    <col min="13430" max="13431" width="9.28515625" bestFit="1" customWidth="1"/>
    <col min="13433" max="13433" width="10.28515625" bestFit="1" customWidth="1"/>
    <col min="13434" max="13435" width="9.28515625" bestFit="1" customWidth="1"/>
    <col min="13437" max="13437" width="10.28515625" bestFit="1" customWidth="1"/>
    <col min="13438" max="13439" width="9.28515625" bestFit="1" customWidth="1"/>
    <col min="13441" max="13441" width="10.28515625" bestFit="1" customWidth="1"/>
    <col min="13442" max="13443" width="9.28515625" bestFit="1" customWidth="1"/>
    <col min="13445" max="13445" width="10.28515625" bestFit="1" customWidth="1"/>
    <col min="13446" max="13447" width="9.28515625" bestFit="1" customWidth="1"/>
    <col min="13449" max="13449" width="10.28515625" bestFit="1" customWidth="1"/>
    <col min="13450" max="13451" width="9.28515625" bestFit="1" customWidth="1"/>
    <col min="13453" max="13453" width="10.28515625" bestFit="1" customWidth="1"/>
    <col min="13454" max="13455" width="9.28515625" bestFit="1" customWidth="1"/>
    <col min="13457" max="13457" width="10.28515625" bestFit="1" customWidth="1"/>
    <col min="13458" max="13459" width="9.28515625" bestFit="1" customWidth="1"/>
    <col min="13461" max="13461" width="10.28515625" bestFit="1" customWidth="1"/>
    <col min="13462" max="13463" width="9.28515625" bestFit="1" customWidth="1"/>
    <col min="13465" max="13465" width="10.28515625" bestFit="1" customWidth="1"/>
    <col min="13466" max="13467" width="9.28515625" bestFit="1" customWidth="1"/>
    <col min="13469" max="13469" width="10.28515625" bestFit="1" customWidth="1"/>
    <col min="13470" max="13471" width="9.28515625" bestFit="1" customWidth="1"/>
    <col min="13473" max="13473" width="10.28515625" bestFit="1" customWidth="1"/>
    <col min="13474" max="13475" width="9.28515625" bestFit="1" customWidth="1"/>
    <col min="13477" max="13477" width="10.28515625" bestFit="1" customWidth="1"/>
    <col min="13478" max="13479" width="9.28515625" bestFit="1" customWidth="1"/>
    <col min="13481" max="13481" width="10.28515625" bestFit="1" customWidth="1"/>
    <col min="13482" max="13483" width="9.28515625" bestFit="1" customWidth="1"/>
    <col min="13485" max="13485" width="10.28515625" bestFit="1" customWidth="1"/>
    <col min="13486" max="13487" width="9.28515625" bestFit="1" customWidth="1"/>
    <col min="13489" max="13489" width="10.28515625" bestFit="1" customWidth="1"/>
    <col min="13490" max="13491" width="9.28515625" bestFit="1" customWidth="1"/>
    <col min="13493" max="13493" width="10.28515625" bestFit="1" customWidth="1"/>
    <col min="13494" max="13495" width="9.28515625" bestFit="1" customWidth="1"/>
    <col min="13497" max="13497" width="10.28515625" bestFit="1" customWidth="1"/>
    <col min="13498" max="13499" width="9.28515625" bestFit="1" customWidth="1"/>
    <col min="13501" max="13501" width="10.28515625" bestFit="1" customWidth="1"/>
    <col min="13502" max="13503" width="9.28515625" bestFit="1" customWidth="1"/>
    <col min="13505" max="13505" width="10.28515625" bestFit="1" customWidth="1"/>
    <col min="13506" max="13507" width="9.28515625" bestFit="1" customWidth="1"/>
    <col min="13509" max="13509" width="10.28515625" bestFit="1" customWidth="1"/>
    <col min="13510" max="13511" width="9.28515625" bestFit="1" customWidth="1"/>
    <col min="13513" max="13513" width="10.28515625" bestFit="1" customWidth="1"/>
    <col min="13514" max="13515" width="9.28515625" bestFit="1" customWidth="1"/>
    <col min="13517" max="13517" width="10.28515625" bestFit="1" customWidth="1"/>
    <col min="13518" max="13519" width="9.28515625" bestFit="1" customWidth="1"/>
    <col min="13521" max="13521" width="10.28515625" bestFit="1" customWidth="1"/>
    <col min="13522" max="13523" width="9.28515625" bestFit="1" customWidth="1"/>
    <col min="13525" max="13525" width="10.28515625" bestFit="1" customWidth="1"/>
    <col min="13526" max="13527" width="9.28515625" bestFit="1" customWidth="1"/>
    <col min="13529" max="13529" width="10.28515625" bestFit="1" customWidth="1"/>
    <col min="13530" max="13531" width="9.28515625" bestFit="1" customWidth="1"/>
    <col min="13533" max="13533" width="10.28515625" bestFit="1" customWidth="1"/>
    <col min="13534" max="13535" width="9.28515625" bestFit="1" customWidth="1"/>
    <col min="13537" max="13537" width="10.28515625" bestFit="1" customWidth="1"/>
    <col min="13538" max="13539" width="9.28515625" bestFit="1" customWidth="1"/>
    <col min="13541" max="13541" width="10.28515625" bestFit="1" customWidth="1"/>
    <col min="13542" max="13543" width="9.28515625" bestFit="1" customWidth="1"/>
    <col min="13545" max="13545" width="10.28515625" bestFit="1" customWidth="1"/>
    <col min="13546" max="13547" width="9.28515625" bestFit="1" customWidth="1"/>
    <col min="13549" max="13549" width="10.28515625" bestFit="1" customWidth="1"/>
    <col min="13550" max="13551" width="9.28515625" bestFit="1" customWidth="1"/>
    <col min="13553" max="13553" width="10.28515625" bestFit="1" customWidth="1"/>
    <col min="13554" max="13555" width="9.28515625" bestFit="1" customWidth="1"/>
    <col min="13557" max="13557" width="10.28515625" bestFit="1" customWidth="1"/>
    <col min="13558" max="13559" width="9.28515625" bestFit="1" customWidth="1"/>
    <col min="13561" max="13561" width="10.28515625" bestFit="1" customWidth="1"/>
    <col min="13562" max="13563" width="9.28515625" bestFit="1" customWidth="1"/>
    <col min="13565" max="13565" width="10.28515625" bestFit="1" customWidth="1"/>
    <col min="13566" max="13567" width="9.28515625" bestFit="1" customWidth="1"/>
    <col min="13569" max="13569" width="10.28515625" bestFit="1" customWidth="1"/>
    <col min="13570" max="13571" width="9.28515625" bestFit="1" customWidth="1"/>
    <col min="13573" max="13573" width="10.28515625" bestFit="1" customWidth="1"/>
    <col min="13574" max="13575" width="9.28515625" bestFit="1" customWidth="1"/>
    <col min="13577" max="13577" width="10.28515625" bestFit="1" customWidth="1"/>
    <col min="13578" max="13579" width="9.28515625" bestFit="1" customWidth="1"/>
    <col min="13581" max="13581" width="10.28515625" bestFit="1" customWidth="1"/>
    <col min="13582" max="13583" width="9.28515625" bestFit="1" customWidth="1"/>
    <col min="13585" max="13585" width="10.28515625" bestFit="1" customWidth="1"/>
    <col min="13586" max="13587" width="9.28515625" bestFit="1" customWidth="1"/>
    <col min="13589" max="13589" width="10.28515625" bestFit="1" customWidth="1"/>
    <col min="13590" max="13591" width="9.28515625" bestFit="1" customWidth="1"/>
    <col min="13593" max="13593" width="10.28515625" bestFit="1" customWidth="1"/>
    <col min="13594" max="13595" width="9.28515625" bestFit="1" customWidth="1"/>
    <col min="13597" max="13597" width="10.28515625" bestFit="1" customWidth="1"/>
    <col min="13598" max="13599" width="9.28515625" bestFit="1" customWidth="1"/>
    <col min="13601" max="13601" width="10.28515625" bestFit="1" customWidth="1"/>
    <col min="13602" max="13603" width="9.28515625" bestFit="1" customWidth="1"/>
    <col min="13605" max="13605" width="10.28515625" bestFit="1" customWidth="1"/>
    <col min="13606" max="13607" width="9.28515625" bestFit="1" customWidth="1"/>
    <col min="13609" max="13609" width="10.28515625" bestFit="1" customWidth="1"/>
    <col min="13610" max="13611" width="9.28515625" bestFit="1" customWidth="1"/>
    <col min="13613" max="13613" width="10.28515625" bestFit="1" customWidth="1"/>
    <col min="13614" max="13615" width="9.28515625" bestFit="1" customWidth="1"/>
    <col min="13617" max="13617" width="10.28515625" bestFit="1" customWidth="1"/>
    <col min="13618" max="13619" width="9.28515625" bestFit="1" customWidth="1"/>
    <col min="13621" max="13621" width="10.28515625" bestFit="1" customWidth="1"/>
    <col min="13622" max="13623" width="9.28515625" bestFit="1" customWidth="1"/>
    <col min="13625" max="13625" width="10.28515625" bestFit="1" customWidth="1"/>
    <col min="13626" max="13627" width="9.28515625" bestFit="1" customWidth="1"/>
    <col min="13629" max="13629" width="10.28515625" bestFit="1" customWidth="1"/>
    <col min="13630" max="13631" width="9.28515625" bestFit="1" customWidth="1"/>
    <col min="13633" max="13633" width="10.28515625" bestFit="1" customWidth="1"/>
    <col min="13634" max="13635" width="9.28515625" bestFit="1" customWidth="1"/>
    <col min="13637" max="13637" width="10.28515625" bestFit="1" customWidth="1"/>
    <col min="13638" max="13639" width="9.28515625" bestFit="1" customWidth="1"/>
    <col min="13641" max="13641" width="10.28515625" bestFit="1" customWidth="1"/>
    <col min="13642" max="13643" width="9.28515625" bestFit="1" customWidth="1"/>
    <col min="13645" max="13645" width="10.28515625" bestFit="1" customWidth="1"/>
    <col min="13646" max="13647" width="9.28515625" bestFit="1" customWidth="1"/>
    <col min="13649" max="13649" width="10.28515625" bestFit="1" customWidth="1"/>
    <col min="13650" max="13651" width="9.28515625" bestFit="1" customWidth="1"/>
    <col min="13653" max="13653" width="10.28515625" bestFit="1" customWidth="1"/>
    <col min="13654" max="13655" width="9.28515625" bestFit="1" customWidth="1"/>
    <col min="13657" max="13657" width="10.28515625" bestFit="1" customWidth="1"/>
    <col min="13658" max="13659" width="9.28515625" bestFit="1" customWidth="1"/>
    <col min="13661" max="13661" width="10.28515625" bestFit="1" customWidth="1"/>
    <col min="13662" max="13663" width="9.28515625" bestFit="1" customWidth="1"/>
    <col min="13665" max="13665" width="10.28515625" bestFit="1" customWidth="1"/>
    <col min="13666" max="13667" width="9.28515625" bestFit="1" customWidth="1"/>
    <col min="13669" max="13669" width="10.28515625" bestFit="1" customWidth="1"/>
    <col min="13670" max="13671" width="9.28515625" bestFit="1" customWidth="1"/>
    <col min="13673" max="13673" width="10.28515625" bestFit="1" customWidth="1"/>
    <col min="13674" max="13675" width="9.28515625" bestFit="1" customWidth="1"/>
    <col min="13677" max="13677" width="10.28515625" bestFit="1" customWidth="1"/>
    <col min="13678" max="13679" width="9.28515625" bestFit="1" customWidth="1"/>
    <col min="13681" max="13681" width="10.28515625" bestFit="1" customWidth="1"/>
    <col min="13682" max="13683" width="9.28515625" bestFit="1" customWidth="1"/>
    <col min="13685" max="13685" width="10.28515625" bestFit="1" customWidth="1"/>
    <col min="13686" max="13687" width="9.28515625" bestFit="1" customWidth="1"/>
    <col min="13689" max="13689" width="10.28515625" bestFit="1" customWidth="1"/>
    <col min="13690" max="13691" width="9.28515625" bestFit="1" customWidth="1"/>
    <col min="13693" max="13693" width="10.28515625" bestFit="1" customWidth="1"/>
    <col min="13694" max="13695" width="9.28515625" bestFit="1" customWidth="1"/>
    <col min="13697" max="13697" width="10.28515625" bestFit="1" customWidth="1"/>
    <col min="13698" max="13699" width="9.28515625" bestFit="1" customWidth="1"/>
    <col min="13701" max="13701" width="10.28515625" bestFit="1" customWidth="1"/>
    <col min="13702" max="13703" width="9.28515625" bestFit="1" customWidth="1"/>
    <col min="13705" max="13705" width="10.28515625" bestFit="1" customWidth="1"/>
    <col min="13706" max="13707" width="9.28515625" bestFit="1" customWidth="1"/>
    <col min="13709" max="13709" width="10.28515625" bestFit="1" customWidth="1"/>
    <col min="13710" max="13711" width="9.28515625" bestFit="1" customWidth="1"/>
    <col min="13713" max="13713" width="10.28515625" bestFit="1" customWidth="1"/>
    <col min="13714" max="13715" width="9.28515625" bestFit="1" customWidth="1"/>
    <col min="13717" max="13717" width="10.28515625" bestFit="1" customWidth="1"/>
    <col min="13718" max="13719" width="9.28515625" bestFit="1" customWidth="1"/>
    <col min="13721" max="13721" width="10.28515625" bestFit="1" customWidth="1"/>
    <col min="13722" max="13723" width="9.28515625" bestFit="1" customWidth="1"/>
    <col min="13725" max="13725" width="10.28515625" bestFit="1" customWidth="1"/>
    <col min="13726" max="13727" width="9.28515625" bestFit="1" customWidth="1"/>
    <col min="13729" max="13729" width="10.28515625" bestFit="1" customWidth="1"/>
    <col min="13730" max="13731" width="9.28515625" bestFit="1" customWidth="1"/>
    <col min="13733" max="13733" width="10.28515625" bestFit="1" customWidth="1"/>
    <col min="13734" max="13735" width="9.28515625" bestFit="1" customWidth="1"/>
    <col min="13737" max="13737" width="10.28515625" bestFit="1" customWidth="1"/>
    <col min="13738" max="13739" width="9.28515625" bestFit="1" customWidth="1"/>
    <col min="13741" max="13741" width="10.28515625" bestFit="1" customWidth="1"/>
    <col min="13742" max="13743" width="9.28515625" bestFit="1" customWidth="1"/>
    <col min="13745" max="13745" width="10.28515625" bestFit="1" customWidth="1"/>
    <col min="13746" max="13747" width="9.28515625" bestFit="1" customWidth="1"/>
    <col min="13749" max="13749" width="10.28515625" bestFit="1" customWidth="1"/>
    <col min="13750" max="13751" width="9.28515625" bestFit="1" customWidth="1"/>
    <col min="13753" max="13753" width="10.28515625" bestFit="1" customWidth="1"/>
    <col min="13754" max="13755" width="9.28515625" bestFit="1" customWidth="1"/>
    <col min="13757" max="13757" width="10.28515625" bestFit="1" customWidth="1"/>
    <col min="13758" max="13759" width="9.28515625" bestFit="1" customWidth="1"/>
    <col min="13761" max="13761" width="10.28515625" bestFit="1" customWidth="1"/>
    <col min="13762" max="13763" width="9.28515625" bestFit="1" customWidth="1"/>
    <col min="13765" max="13765" width="10.28515625" bestFit="1" customWidth="1"/>
    <col min="13766" max="13767" width="9.28515625" bestFit="1" customWidth="1"/>
    <col min="13769" max="13769" width="10.28515625" bestFit="1" customWidth="1"/>
    <col min="13770" max="13771" width="9.28515625" bestFit="1" customWidth="1"/>
    <col min="13773" max="13773" width="10.28515625" bestFit="1" customWidth="1"/>
    <col min="13774" max="13775" width="9.28515625" bestFit="1" customWidth="1"/>
    <col min="13777" max="13777" width="10.28515625" bestFit="1" customWidth="1"/>
    <col min="13778" max="13779" width="9.28515625" bestFit="1" customWidth="1"/>
    <col min="13781" max="13781" width="10.28515625" bestFit="1" customWidth="1"/>
    <col min="13782" max="13783" width="9.28515625" bestFit="1" customWidth="1"/>
    <col min="13785" max="13785" width="10.28515625" bestFit="1" customWidth="1"/>
    <col min="13786" max="13787" width="9.28515625" bestFit="1" customWidth="1"/>
    <col min="13789" max="13789" width="10.28515625" bestFit="1" customWidth="1"/>
    <col min="13790" max="13791" width="9.28515625" bestFit="1" customWidth="1"/>
    <col min="13793" max="13793" width="10.28515625" bestFit="1" customWidth="1"/>
    <col min="13794" max="13795" width="9.28515625" bestFit="1" customWidth="1"/>
    <col min="13797" max="13797" width="10.28515625" bestFit="1" customWidth="1"/>
    <col min="13798" max="13799" width="9.28515625" bestFit="1" customWidth="1"/>
    <col min="13801" max="13801" width="10.28515625" bestFit="1" customWidth="1"/>
    <col min="13802" max="13803" width="9.28515625" bestFit="1" customWidth="1"/>
    <col min="13805" max="13805" width="10.28515625" bestFit="1" customWidth="1"/>
    <col min="13806" max="13807" width="9.28515625" bestFit="1" customWidth="1"/>
    <col min="13809" max="13809" width="10.28515625" bestFit="1" customWidth="1"/>
    <col min="13810" max="13811" width="9.28515625" bestFit="1" customWidth="1"/>
    <col min="13813" max="13813" width="10.28515625" bestFit="1" customWidth="1"/>
    <col min="13814" max="13815" width="9.28515625" bestFit="1" customWidth="1"/>
    <col min="13817" max="13817" width="10.28515625" bestFit="1" customWidth="1"/>
    <col min="13818" max="13819" width="9.28515625" bestFit="1" customWidth="1"/>
    <col min="13821" max="13821" width="10.28515625" bestFit="1" customWidth="1"/>
    <col min="13822" max="13823" width="9.28515625" bestFit="1" customWidth="1"/>
    <col min="13825" max="13825" width="10.28515625" bestFit="1" customWidth="1"/>
    <col min="13826" max="13827" width="9.28515625" bestFit="1" customWidth="1"/>
    <col min="13829" max="13829" width="10.28515625" bestFit="1" customWidth="1"/>
    <col min="13830" max="13831" width="9.28515625" bestFit="1" customWidth="1"/>
    <col min="13833" max="13833" width="10.28515625" bestFit="1" customWidth="1"/>
    <col min="13834" max="13835" width="9.28515625" bestFit="1" customWidth="1"/>
    <col min="13837" max="13837" width="10.28515625" bestFit="1" customWidth="1"/>
    <col min="13838" max="13839" width="9.28515625" bestFit="1" customWidth="1"/>
    <col min="13841" max="13841" width="10.28515625" bestFit="1" customWidth="1"/>
    <col min="13842" max="13843" width="9.28515625" bestFit="1" customWidth="1"/>
    <col min="13845" max="13845" width="10.28515625" bestFit="1" customWidth="1"/>
    <col min="13846" max="13847" width="9.28515625" bestFit="1" customWidth="1"/>
    <col min="13849" max="13849" width="10.28515625" bestFit="1" customWidth="1"/>
    <col min="13850" max="13851" width="9.28515625" bestFit="1" customWidth="1"/>
    <col min="13853" max="13853" width="10.28515625" bestFit="1" customWidth="1"/>
    <col min="13854" max="13855" width="9.28515625" bestFit="1" customWidth="1"/>
    <col min="13857" max="13857" width="10.28515625" bestFit="1" customWidth="1"/>
    <col min="13858" max="13859" width="9.28515625" bestFit="1" customWidth="1"/>
    <col min="13861" max="13861" width="10.28515625" bestFit="1" customWidth="1"/>
    <col min="13862" max="13863" width="9.28515625" bestFit="1" customWidth="1"/>
    <col min="13865" max="13865" width="10.28515625" bestFit="1" customWidth="1"/>
    <col min="13866" max="13867" width="9.28515625" bestFit="1" customWidth="1"/>
    <col min="13869" max="13869" width="10.28515625" bestFit="1" customWidth="1"/>
    <col min="13870" max="13871" width="9.28515625" bestFit="1" customWidth="1"/>
    <col min="13873" max="13873" width="10.28515625" bestFit="1" customWidth="1"/>
    <col min="13874" max="13875" width="9.28515625" bestFit="1" customWidth="1"/>
    <col min="13877" max="13877" width="10.28515625" bestFit="1" customWidth="1"/>
    <col min="13878" max="13879" width="9.28515625" bestFit="1" customWidth="1"/>
    <col min="13881" max="13881" width="10.28515625" bestFit="1" customWidth="1"/>
    <col min="13882" max="13883" width="9.28515625" bestFit="1" customWidth="1"/>
    <col min="13885" max="13885" width="10.28515625" bestFit="1" customWidth="1"/>
    <col min="13886" max="13887" width="9.28515625" bestFit="1" customWidth="1"/>
    <col min="13889" max="13889" width="10.28515625" bestFit="1" customWidth="1"/>
    <col min="13890" max="13891" width="9.28515625" bestFit="1" customWidth="1"/>
    <col min="13893" max="13893" width="10.28515625" bestFit="1" customWidth="1"/>
    <col min="13894" max="13895" width="9.28515625" bestFit="1" customWidth="1"/>
    <col min="13897" max="13897" width="10.28515625" bestFit="1" customWidth="1"/>
    <col min="13898" max="13899" width="9.28515625" bestFit="1" customWidth="1"/>
    <col min="13901" max="13901" width="10.28515625" bestFit="1" customWidth="1"/>
    <col min="13902" max="13903" width="9.28515625" bestFit="1" customWidth="1"/>
    <col min="13905" max="13905" width="10.28515625" bestFit="1" customWidth="1"/>
    <col min="13906" max="13907" width="9.28515625" bestFit="1" customWidth="1"/>
    <col min="13909" max="13909" width="10.28515625" bestFit="1" customWidth="1"/>
    <col min="13910" max="13911" width="9.28515625" bestFit="1" customWidth="1"/>
    <col min="13913" max="13913" width="10.28515625" bestFit="1" customWidth="1"/>
    <col min="13914" max="13915" width="9.28515625" bestFit="1" customWidth="1"/>
    <col min="13917" max="13917" width="10.28515625" bestFit="1" customWidth="1"/>
    <col min="13918" max="13919" width="9.28515625" bestFit="1" customWidth="1"/>
    <col min="13921" max="13921" width="10.28515625" bestFit="1" customWidth="1"/>
    <col min="13922" max="13923" width="9.28515625" bestFit="1" customWidth="1"/>
    <col min="13925" max="13925" width="10.28515625" bestFit="1" customWidth="1"/>
    <col min="13926" max="13927" width="9.28515625" bestFit="1" customWidth="1"/>
    <col min="13929" max="13929" width="10.28515625" bestFit="1" customWidth="1"/>
    <col min="13930" max="13931" width="9.28515625" bestFit="1" customWidth="1"/>
    <col min="13933" max="13933" width="10.28515625" bestFit="1" customWidth="1"/>
    <col min="13934" max="13935" width="9.28515625" bestFit="1" customWidth="1"/>
    <col min="13937" max="13937" width="10.28515625" bestFit="1" customWidth="1"/>
    <col min="13938" max="13939" width="9.28515625" bestFit="1" customWidth="1"/>
    <col min="13941" max="13941" width="10.28515625" bestFit="1" customWidth="1"/>
    <col min="13942" max="13943" width="9.28515625" bestFit="1" customWidth="1"/>
    <col min="13945" max="13945" width="10.28515625" bestFit="1" customWidth="1"/>
    <col min="13946" max="13947" width="9.28515625" bestFit="1" customWidth="1"/>
    <col min="13949" max="13949" width="10.28515625" bestFit="1" customWidth="1"/>
    <col min="13950" max="13951" width="9.28515625" bestFit="1" customWidth="1"/>
    <col min="13953" max="13953" width="10.28515625" bestFit="1" customWidth="1"/>
    <col min="13954" max="13955" width="9.28515625" bestFit="1" customWidth="1"/>
    <col min="13957" max="13957" width="10.28515625" bestFit="1" customWidth="1"/>
    <col min="13958" max="13959" width="9.28515625" bestFit="1" customWidth="1"/>
    <col min="13961" max="13961" width="10.28515625" bestFit="1" customWidth="1"/>
    <col min="13962" max="13963" width="9.28515625" bestFit="1" customWidth="1"/>
    <col min="13965" max="13965" width="10.28515625" bestFit="1" customWidth="1"/>
    <col min="13966" max="13967" width="9.28515625" bestFit="1" customWidth="1"/>
    <col min="13969" max="13969" width="10.28515625" bestFit="1" customWidth="1"/>
    <col min="13970" max="13971" width="9.28515625" bestFit="1" customWidth="1"/>
    <col min="13973" max="13973" width="10.28515625" bestFit="1" customWidth="1"/>
    <col min="13974" max="13975" width="9.28515625" bestFit="1" customWidth="1"/>
    <col min="13977" max="13977" width="10.28515625" bestFit="1" customWidth="1"/>
    <col min="13978" max="13979" width="9.28515625" bestFit="1" customWidth="1"/>
    <col min="13981" max="13981" width="10.28515625" bestFit="1" customWidth="1"/>
    <col min="13982" max="13983" width="9.28515625" bestFit="1" customWidth="1"/>
    <col min="13985" max="13985" width="10.28515625" bestFit="1" customWidth="1"/>
    <col min="13986" max="13987" width="9.28515625" bestFit="1" customWidth="1"/>
    <col min="13989" max="13989" width="10.28515625" bestFit="1" customWidth="1"/>
    <col min="13990" max="13991" width="9.28515625" bestFit="1" customWidth="1"/>
    <col min="13993" max="13993" width="10.28515625" bestFit="1" customWidth="1"/>
    <col min="13994" max="13995" width="9.28515625" bestFit="1" customWidth="1"/>
    <col min="13997" max="13997" width="10.28515625" bestFit="1" customWidth="1"/>
    <col min="13998" max="13999" width="9.28515625" bestFit="1" customWidth="1"/>
    <col min="14001" max="14001" width="10.28515625" bestFit="1" customWidth="1"/>
    <col min="14002" max="14003" width="9.28515625" bestFit="1" customWidth="1"/>
    <col min="14005" max="14005" width="10.28515625" bestFit="1" customWidth="1"/>
    <col min="14006" max="14007" width="9.28515625" bestFit="1" customWidth="1"/>
    <col min="14009" max="14009" width="10.28515625" bestFit="1" customWidth="1"/>
    <col min="14010" max="14011" width="9.28515625" bestFit="1" customWidth="1"/>
    <col min="14013" max="14013" width="10.28515625" bestFit="1" customWidth="1"/>
    <col min="14014" max="14015" width="9.28515625" bestFit="1" customWidth="1"/>
    <col min="14017" max="14017" width="10.28515625" bestFit="1" customWidth="1"/>
    <col min="14018" max="14019" width="9.28515625" bestFit="1" customWidth="1"/>
    <col min="14021" max="14021" width="10.28515625" bestFit="1" customWidth="1"/>
    <col min="14022" max="14023" width="9.28515625" bestFit="1" customWidth="1"/>
    <col min="14025" max="14025" width="10.28515625" bestFit="1" customWidth="1"/>
    <col min="14026" max="14027" width="9.28515625" bestFit="1" customWidth="1"/>
    <col min="14029" max="14029" width="10.28515625" bestFit="1" customWidth="1"/>
    <col min="14030" max="14031" width="9.28515625" bestFit="1" customWidth="1"/>
    <col min="14033" max="14033" width="10.28515625" bestFit="1" customWidth="1"/>
    <col min="14034" max="14035" width="9.28515625" bestFit="1" customWidth="1"/>
    <col min="14037" max="14037" width="10.28515625" bestFit="1" customWidth="1"/>
    <col min="14038" max="14039" width="9.28515625" bestFit="1" customWidth="1"/>
    <col min="14041" max="14041" width="10.28515625" bestFit="1" customWidth="1"/>
    <col min="14042" max="14043" width="9.28515625" bestFit="1" customWidth="1"/>
    <col min="14045" max="14045" width="10.28515625" bestFit="1" customWidth="1"/>
    <col min="14046" max="14047" width="9.28515625" bestFit="1" customWidth="1"/>
    <col min="14049" max="14049" width="10.28515625" bestFit="1" customWidth="1"/>
    <col min="14050" max="14051" width="9.28515625" bestFit="1" customWidth="1"/>
    <col min="14053" max="14053" width="10.28515625" bestFit="1" customWidth="1"/>
    <col min="14054" max="14055" width="9.28515625" bestFit="1" customWidth="1"/>
    <col min="14057" max="14057" width="10.28515625" bestFit="1" customWidth="1"/>
    <col min="14058" max="14059" width="9.28515625" bestFit="1" customWidth="1"/>
    <col min="14061" max="14061" width="10.28515625" bestFit="1" customWidth="1"/>
    <col min="14062" max="14063" width="9.28515625" bestFit="1" customWidth="1"/>
    <col min="14065" max="14065" width="10.28515625" bestFit="1" customWidth="1"/>
    <col min="14066" max="14067" width="9.28515625" bestFit="1" customWidth="1"/>
    <col min="14069" max="14069" width="10.28515625" bestFit="1" customWidth="1"/>
    <col min="14070" max="14071" width="9.28515625" bestFit="1" customWidth="1"/>
    <col min="14073" max="14073" width="10.28515625" bestFit="1" customWidth="1"/>
    <col min="14074" max="14075" width="9.28515625" bestFit="1" customWidth="1"/>
    <col min="14077" max="14077" width="10.28515625" bestFit="1" customWidth="1"/>
    <col min="14078" max="14079" width="9.28515625" bestFit="1" customWidth="1"/>
    <col min="14081" max="14081" width="10.28515625" bestFit="1" customWidth="1"/>
    <col min="14082" max="14083" width="9.28515625" bestFit="1" customWidth="1"/>
    <col min="14085" max="14085" width="10.28515625" bestFit="1" customWidth="1"/>
    <col min="14086" max="14087" width="9.28515625" bestFit="1" customWidth="1"/>
    <col min="14089" max="14089" width="10.28515625" bestFit="1" customWidth="1"/>
    <col min="14090" max="14091" width="9.28515625" bestFit="1" customWidth="1"/>
    <col min="14093" max="14093" width="10.28515625" bestFit="1" customWidth="1"/>
    <col min="14094" max="14095" width="9.28515625" bestFit="1" customWidth="1"/>
    <col min="14097" max="14097" width="10.28515625" bestFit="1" customWidth="1"/>
    <col min="14098" max="14099" width="9.28515625" bestFit="1" customWidth="1"/>
    <col min="14101" max="14101" width="10.28515625" bestFit="1" customWidth="1"/>
    <col min="14102" max="14103" width="9.28515625" bestFit="1" customWidth="1"/>
    <col min="14105" max="14105" width="10.28515625" bestFit="1" customWidth="1"/>
    <col min="14106" max="14107" width="9.28515625" bestFit="1" customWidth="1"/>
    <col min="14109" max="14109" width="10.28515625" bestFit="1" customWidth="1"/>
    <col min="14110" max="14111" width="9.28515625" bestFit="1" customWidth="1"/>
    <col min="14113" max="14113" width="10.28515625" bestFit="1" customWidth="1"/>
    <col min="14114" max="14115" width="9.28515625" bestFit="1" customWidth="1"/>
    <col min="14117" max="14117" width="10.28515625" bestFit="1" customWidth="1"/>
    <col min="14118" max="14119" width="9.28515625" bestFit="1" customWidth="1"/>
    <col min="14121" max="14121" width="10.28515625" bestFit="1" customWidth="1"/>
    <col min="14122" max="14123" width="9.28515625" bestFit="1" customWidth="1"/>
    <col min="14125" max="14125" width="10.28515625" bestFit="1" customWidth="1"/>
    <col min="14126" max="14127" width="9.28515625" bestFit="1" customWidth="1"/>
    <col min="14129" max="14129" width="10.28515625" bestFit="1" customWidth="1"/>
    <col min="14130" max="14131" width="9.28515625" bestFit="1" customWidth="1"/>
    <col min="14133" max="14133" width="10.28515625" bestFit="1" customWidth="1"/>
    <col min="14134" max="14135" width="9.28515625" bestFit="1" customWidth="1"/>
    <col min="14137" max="14137" width="10.28515625" bestFit="1" customWidth="1"/>
    <col min="14138" max="14139" width="9.28515625" bestFit="1" customWidth="1"/>
    <col min="14141" max="14141" width="10.28515625" bestFit="1" customWidth="1"/>
    <col min="14142" max="14143" width="9.28515625" bestFit="1" customWidth="1"/>
    <col min="14145" max="14145" width="10.28515625" bestFit="1" customWidth="1"/>
    <col min="14146" max="14147" width="9.28515625" bestFit="1" customWidth="1"/>
    <col min="14149" max="14149" width="10.28515625" bestFit="1" customWidth="1"/>
    <col min="14150" max="14151" width="9.28515625" bestFit="1" customWidth="1"/>
    <col min="14153" max="14153" width="10.28515625" bestFit="1" customWidth="1"/>
    <col min="14154" max="14155" width="9.28515625" bestFit="1" customWidth="1"/>
    <col min="14157" max="14157" width="10.28515625" bestFit="1" customWidth="1"/>
    <col min="14158" max="14159" width="9.28515625" bestFit="1" customWidth="1"/>
    <col min="14161" max="14161" width="10.28515625" bestFit="1" customWidth="1"/>
    <col min="14162" max="14163" width="9.28515625" bestFit="1" customWidth="1"/>
    <col min="14165" max="14165" width="10.28515625" bestFit="1" customWidth="1"/>
    <col min="14166" max="14167" width="9.28515625" bestFit="1" customWidth="1"/>
    <col min="14169" max="14169" width="10.28515625" bestFit="1" customWidth="1"/>
    <col min="14170" max="14171" width="9.28515625" bestFit="1" customWidth="1"/>
    <col min="14173" max="14173" width="10.28515625" bestFit="1" customWidth="1"/>
    <col min="14174" max="14175" width="9.28515625" bestFit="1" customWidth="1"/>
    <col min="14177" max="14177" width="10.28515625" bestFit="1" customWidth="1"/>
    <col min="14178" max="14179" width="9.28515625" bestFit="1" customWidth="1"/>
    <col min="14181" max="14181" width="10.28515625" bestFit="1" customWidth="1"/>
    <col min="14182" max="14183" width="9.28515625" bestFit="1" customWidth="1"/>
    <col min="14185" max="14185" width="10.28515625" bestFit="1" customWidth="1"/>
    <col min="14186" max="14187" width="9.28515625" bestFit="1" customWidth="1"/>
    <col min="14189" max="14189" width="10.28515625" bestFit="1" customWidth="1"/>
    <col min="14190" max="14191" width="9.28515625" bestFit="1" customWidth="1"/>
    <col min="14193" max="14193" width="10.28515625" bestFit="1" customWidth="1"/>
    <col min="14194" max="14195" width="9.28515625" bestFit="1" customWidth="1"/>
    <col min="14197" max="14197" width="10.28515625" bestFit="1" customWidth="1"/>
    <col min="14198" max="14199" width="9.28515625" bestFit="1" customWidth="1"/>
    <col min="14201" max="14201" width="10.28515625" bestFit="1" customWidth="1"/>
    <col min="14202" max="14203" width="9.28515625" bestFit="1" customWidth="1"/>
    <col min="14205" max="14205" width="10.28515625" bestFit="1" customWidth="1"/>
    <col min="14206" max="14207" width="9.28515625" bestFit="1" customWidth="1"/>
    <col min="14209" max="14209" width="10.28515625" bestFit="1" customWidth="1"/>
    <col min="14210" max="14211" width="9.28515625" bestFit="1" customWidth="1"/>
    <col min="14213" max="14213" width="10.28515625" bestFit="1" customWidth="1"/>
    <col min="14214" max="14215" width="9.28515625" bestFit="1" customWidth="1"/>
    <col min="14217" max="14217" width="10.28515625" bestFit="1" customWidth="1"/>
    <col min="14218" max="14219" width="9.28515625" bestFit="1" customWidth="1"/>
    <col min="14221" max="14221" width="10.28515625" bestFit="1" customWidth="1"/>
    <col min="14222" max="14223" width="9.28515625" bestFit="1" customWidth="1"/>
    <col min="14225" max="14225" width="10.28515625" bestFit="1" customWidth="1"/>
    <col min="14226" max="14227" width="9.28515625" bestFit="1" customWidth="1"/>
    <col min="14229" max="14229" width="10.28515625" bestFit="1" customWidth="1"/>
    <col min="14230" max="14231" width="9.28515625" bestFit="1" customWidth="1"/>
    <col min="14233" max="14233" width="10.28515625" bestFit="1" customWidth="1"/>
    <col min="14234" max="14235" width="9.28515625" bestFit="1" customWidth="1"/>
    <col min="14237" max="14237" width="10.28515625" bestFit="1" customWidth="1"/>
    <col min="14238" max="14239" width="9.28515625" bestFit="1" customWidth="1"/>
    <col min="14241" max="14241" width="10.28515625" bestFit="1" customWidth="1"/>
    <col min="14242" max="14243" width="9.28515625" bestFit="1" customWidth="1"/>
    <col min="14245" max="14245" width="10.28515625" bestFit="1" customWidth="1"/>
    <col min="14246" max="14247" width="9.28515625" bestFit="1" customWidth="1"/>
    <col min="14249" max="14249" width="10.28515625" bestFit="1" customWidth="1"/>
    <col min="14250" max="14251" width="9.28515625" bestFit="1" customWidth="1"/>
    <col min="14253" max="14253" width="10.28515625" bestFit="1" customWidth="1"/>
    <col min="14254" max="14255" width="9.28515625" bestFit="1" customWidth="1"/>
    <col min="14257" max="14257" width="10.28515625" bestFit="1" customWidth="1"/>
    <col min="14258" max="14259" width="9.28515625" bestFit="1" customWidth="1"/>
    <col min="14261" max="14261" width="10.28515625" bestFit="1" customWidth="1"/>
    <col min="14262" max="14263" width="9.28515625" bestFit="1" customWidth="1"/>
    <col min="14265" max="14265" width="10.28515625" bestFit="1" customWidth="1"/>
    <col min="14266" max="14267" width="9.28515625" bestFit="1" customWidth="1"/>
    <col min="14269" max="14269" width="10.28515625" bestFit="1" customWidth="1"/>
    <col min="14270" max="14271" width="9.28515625" bestFit="1" customWidth="1"/>
    <col min="14273" max="14273" width="10.28515625" bestFit="1" customWidth="1"/>
    <col min="14274" max="14275" width="9.28515625" bestFit="1" customWidth="1"/>
    <col min="14277" max="14277" width="10.28515625" bestFit="1" customWidth="1"/>
    <col min="14278" max="14279" width="9.28515625" bestFit="1" customWidth="1"/>
    <col min="14281" max="14281" width="10.28515625" bestFit="1" customWidth="1"/>
    <col min="14282" max="14283" width="9.28515625" bestFit="1" customWidth="1"/>
    <col min="14285" max="14285" width="10.28515625" bestFit="1" customWidth="1"/>
    <col min="14286" max="14287" width="9.28515625" bestFit="1" customWidth="1"/>
    <col min="14289" max="14289" width="10.28515625" bestFit="1" customWidth="1"/>
    <col min="14290" max="14291" width="9.28515625" bestFit="1" customWidth="1"/>
    <col min="14293" max="14293" width="10.28515625" bestFit="1" customWidth="1"/>
    <col min="14294" max="14295" width="9.28515625" bestFit="1" customWidth="1"/>
    <col min="14297" max="14297" width="10.28515625" bestFit="1" customWidth="1"/>
    <col min="14298" max="14299" width="9.28515625" bestFit="1" customWidth="1"/>
    <col min="14301" max="14301" width="10.28515625" bestFit="1" customWidth="1"/>
    <col min="14302" max="14303" width="9.28515625" bestFit="1" customWidth="1"/>
    <col min="14305" max="14305" width="10.28515625" bestFit="1" customWidth="1"/>
    <col min="14306" max="14307" width="9.28515625" bestFit="1" customWidth="1"/>
    <col min="14309" max="14309" width="10.28515625" bestFit="1" customWidth="1"/>
    <col min="14310" max="14311" width="9.28515625" bestFit="1" customWidth="1"/>
    <col min="14313" max="14313" width="10.28515625" bestFit="1" customWidth="1"/>
    <col min="14314" max="14315" width="9.28515625" bestFit="1" customWidth="1"/>
    <col min="14317" max="14317" width="10.28515625" bestFit="1" customWidth="1"/>
    <col min="14318" max="14319" width="9.28515625" bestFit="1" customWidth="1"/>
    <col min="14321" max="14321" width="10.28515625" bestFit="1" customWidth="1"/>
    <col min="14322" max="14323" width="9.28515625" bestFit="1" customWidth="1"/>
    <col min="14325" max="14325" width="10.28515625" bestFit="1" customWidth="1"/>
    <col min="14326" max="14327" width="9.28515625" bestFit="1" customWidth="1"/>
    <col min="14329" max="14329" width="10.28515625" bestFit="1" customWidth="1"/>
    <col min="14330" max="14331" width="9.28515625" bestFit="1" customWidth="1"/>
    <col min="14333" max="14333" width="10.28515625" bestFit="1" customWidth="1"/>
    <col min="14334" max="14335" width="9.28515625" bestFit="1" customWidth="1"/>
    <col min="14337" max="14337" width="10.28515625" bestFit="1" customWidth="1"/>
    <col min="14338" max="14339" width="9.28515625" bestFit="1" customWidth="1"/>
    <col min="14341" max="14341" width="10.28515625" bestFit="1" customWidth="1"/>
    <col min="14342" max="14343" width="9.28515625" bestFit="1" customWidth="1"/>
    <col min="14345" max="14345" width="10.28515625" bestFit="1" customWidth="1"/>
    <col min="14346" max="14347" width="9.28515625" bestFit="1" customWidth="1"/>
    <col min="14349" max="14349" width="10.28515625" bestFit="1" customWidth="1"/>
    <col min="14350" max="14351" width="9.28515625" bestFit="1" customWidth="1"/>
    <col min="14353" max="14353" width="10.28515625" bestFit="1" customWidth="1"/>
    <col min="14354" max="14355" width="9.28515625" bestFit="1" customWidth="1"/>
    <col min="14357" max="14357" width="10.28515625" bestFit="1" customWidth="1"/>
    <col min="14358" max="14359" width="9.28515625" bestFit="1" customWidth="1"/>
    <col min="14361" max="14361" width="10.28515625" bestFit="1" customWidth="1"/>
    <col min="14362" max="14363" width="9.28515625" bestFit="1" customWidth="1"/>
    <col min="14365" max="14365" width="10.28515625" bestFit="1" customWidth="1"/>
    <col min="14366" max="14367" width="9.28515625" bestFit="1" customWidth="1"/>
    <col min="14369" max="14369" width="10.28515625" bestFit="1" customWidth="1"/>
    <col min="14370" max="14371" width="9.28515625" bestFit="1" customWidth="1"/>
    <col min="14373" max="14373" width="10.28515625" bestFit="1" customWidth="1"/>
    <col min="14374" max="14375" width="9.28515625" bestFit="1" customWidth="1"/>
    <col min="14377" max="14377" width="10.28515625" bestFit="1" customWidth="1"/>
    <col min="14378" max="14379" width="9.28515625" bestFit="1" customWidth="1"/>
    <col min="14381" max="14381" width="10.28515625" bestFit="1" customWidth="1"/>
    <col min="14382" max="14383" width="9.28515625" bestFit="1" customWidth="1"/>
    <col min="14385" max="14385" width="10.28515625" bestFit="1" customWidth="1"/>
    <col min="14386" max="14387" width="9.28515625" bestFit="1" customWidth="1"/>
    <col min="14389" max="14389" width="10.28515625" bestFit="1" customWidth="1"/>
    <col min="14390" max="14391" width="9.28515625" bestFit="1" customWidth="1"/>
    <col min="14393" max="14393" width="10.28515625" bestFit="1" customWidth="1"/>
    <col min="14394" max="14395" width="9.28515625" bestFit="1" customWidth="1"/>
    <col min="14397" max="14397" width="10.28515625" bestFit="1" customWidth="1"/>
    <col min="14398" max="14399" width="9.28515625" bestFit="1" customWidth="1"/>
    <col min="14401" max="14401" width="10.28515625" bestFit="1" customWidth="1"/>
    <col min="14402" max="14403" width="9.28515625" bestFit="1" customWidth="1"/>
    <col min="14405" max="14405" width="10.28515625" bestFit="1" customWidth="1"/>
    <col min="14406" max="14407" width="9.28515625" bestFit="1" customWidth="1"/>
    <col min="14409" max="14409" width="10.28515625" bestFit="1" customWidth="1"/>
    <col min="14410" max="14411" width="9.28515625" bestFit="1" customWidth="1"/>
    <col min="14413" max="14413" width="10.28515625" bestFit="1" customWidth="1"/>
    <col min="14414" max="14415" width="9.28515625" bestFit="1" customWidth="1"/>
    <col min="14417" max="14417" width="10.28515625" bestFit="1" customWidth="1"/>
    <col min="14418" max="14419" width="9.28515625" bestFit="1" customWidth="1"/>
    <col min="14421" max="14421" width="10.28515625" bestFit="1" customWidth="1"/>
    <col min="14422" max="14423" width="9.28515625" bestFit="1" customWidth="1"/>
    <col min="14425" max="14425" width="10.28515625" bestFit="1" customWidth="1"/>
    <col min="14426" max="14427" width="9.28515625" bestFit="1" customWidth="1"/>
    <col min="14429" max="14429" width="10.28515625" bestFit="1" customWidth="1"/>
    <col min="14430" max="14431" width="9.28515625" bestFit="1" customWidth="1"/>
    <col min="14433" max="14433" width="10.28515625" bestFit="1" customWidth="1"/>
    <col min="14434" max="14435" width="9.28515625" bestFit="1" customWidth="1"/>
    <col min="14437" max="14437" width="10.28515625" bestFit="1" customWidth="1"/>
    <col min="14438" max="14439" width="9.28515625" bestFit="1" customWidth="1"/>
    <col min="14441" max="14441" width="10.28515625" bestFit="1" customWidth="1"/>
    <col min="14442" max="14443" width="9.28515625" bestFit="1" customWidth="1"/>
    <col min="14445" max="14445" width="10.28515625" bestFit="1" customWidth="1"/>
    <col min="14446" max="14447" width="9.28515625" bestFit="1" customWidth="1"/>
    <col min="14449" max="14449" width="10.28515625" bestFit="1" customWidth="1"/>
    <col min="14450" max="14451" width="9.28515625" bestFit="1" customWidth="1"/>
    <col min="14453" max="14453" width="10.28515625" bestFit="1" customWidth="1"/>
    <col min="14454" max="14455" width="9.28515625" bestFit="1" customWidth="1"/>
    <col min="14457" max="14457" width="10.28515625" bestFit="1" customWidth="1"/>
    <col min="14458" max="14459" width="9.28515625" bestFit="1" customWidth="1"/>
    <col min="14461" max="14461" width="10.28515625" bestFit="1" customWidth="1"/>
    <col min="14462" max="14463" width="9.28515625" bestFit="1" customWidth="1"/>
    <col min="14465" max="14465" width="10.28515625" bestFit="1" customWidth="1"/>
    <col min="14466" max="14467" width="9.28515625" bestFit="1" customWidth="1"/>
    <col min="14469" max="14469" width="10.28515625" bestFit="1" customWidth="1"/>
    <col min="14470" max="14471" width="9.28515625" bestFit="1" customWidth="1"/>
    <col min="14473" max="14473" width="10.28515625" bestFit="1" customWidth="1"/>
    <col min="14474" max="14475" width="9.28515625" bestFit="1" customWidth="1"/>
    <col min="14477" max="14477" width="10.28515625" bestFit="1" customWidth="1"/>
    <col min="14478" max="14479" width="9.28515625" bestFit="1" customWidth="1"/>
    <col min="14481" max="14481" width="10.28515625" bestFit="1" customWidth="1"/>
    <col min="14482" max="14483" width="9.28515625" bestFit="1" customWidth="1"/>
    <col min="14485" max="14485" width="10.28515625" bestFit="1" customWidth="1"/>
    <col min="14486" max="14487" width="9.28515625" bestFit="1" customWidth="1"/>
    <col min="14489" max="14489" width="10.28515625" bestFit="1" customWidth="1"/>
    <col min="14490" max="14491" width="9.28515625" bestFit="1" customWidth="1"/>
    <col min="14493" max="14493" width="10.28515625" bestFit="1" customWidth="1"/>
    <col min="14494" max="14495" width="9.28515625" bestFit="1" customWidth="1"/>
    <col min="14497" max="14497" width="10.28515625" bestFit="1" customWidth="1"/>
    <col min="14498" max="14499" width="9.28515625" bestFit="1" customWidth="1"/>
    <col min="14501" max="14501" width="10.28515625" bestFit="1" customWidth="1"/>
    <col min="14502" max="14503" width="9.28515625" bestFit="1" customWidth="1"/>
    <col min="14505" max="14505" width="10.28515625" bestFit="1" customWidth="1"/>
    <col min="14506" max="14507" width="9.28515625" bestFit="1" customWidth="1"/>
    <col min="14509" max="14509" width="10.28515625" bestFit="1" customWidth="1"/>
    <col min="14510" max="14511" width="9.28515625" bestFit="1" customWidth="1"/>
    <col min="14513" max="14513" width="10.28515625" bestFit="1" customWidth="1"/>
    <col min="14514" max="14515" width="9.28515625" bestFit="1" customWidth="1"/>
    <col min="14517" max="14517" width="10.28515625" bestFit="1" customWidth="1"/>
    <col min="14518" max="14519" width="9.28515625" bestFit="1" customWidth="1"/>
    <col min="14521" max="14521" width="10.28515625" bestFit="1" customWidth="1"/>
    <col min="14522" max="14523" width="9.28515625" bestFit="1" customWidth="1"/>
    <col min="14525" max="14525" width="10.28515625" bestFit="1" customWidth="1"/>
    <col min="14526" max="14527" width="9.28515625" bestFit="1" customWidth="1"/>
    <col min="14529" max="14529" width="10.28515625" bestFit="1" customWidth="1"/>
    <col min="14530" max="14531" width="9.28515625" bestFit="1" customWidth="1"/>
    <col min="14533" max="14533" width="10.28515625" bestFit="1" customWidth="1"/>
    <col min="14534" max="14535" width="9.28515625" bestFit="1" customWidth="1"/>
    <col min="14537" max="14537" width="10.28515625" bestFit="1" customWidth="1"/>
    <col min="14538" max="14539" width="9.28515625" bestFit="1" customWidth="1"/>
    <col min="14541" max="14541" width="10.28515625" bestFit="1" customWidth="1"/>
    <col min="14542" max="14543" width="9.28515625" bestFit="1" customWidth="1"/>
    <col min="14545" max="14545" width="10.28515625" bestFit="1" customWidth="1"/>
    <col min="14546" max="14547" width="9.28515625" bestFit="1" customWidth="1"/>
    <col min="14549" max="14549" width="10.28515625" bestFit="1" customWidth="1"/>
    <col min="14550" max="14551" width="9.28515625" bestFit="1" customWidth="1"/>
    <col min="14553" max="14553" width="10.28515625" bestFit="1" customWidth="1"/>
    <col min="14554" max="14555" width="9.28515625" bestFit="1" customWidth="1"/>
    <col min="14557" max="14557" width="10.28515625" bestFit="1" customWidth="1"/>
    <col min="14558" max="14559" width="9.28515625" bestFit="1" customWidth="1"/>
    <col min="14561" max="14561" width="10.28515625" bestFit="1" customWidth="1"/>
    <col min="14562" max="14563" width="9.28515625" bestFit="1" customWidth="1"/>
    <col min="14565" max="14565" width="10.28515625" bestFit="1" customWidth="1"/>
    <col min="14566" max="14567" width="9.28515625" bestFit="1" customWidth="1"/>
    <col min="14569" max="14569" width="10.28515625" bestFit="1" customWidth="1"/>
    <col min="14570" max="14571" width="9.28515625" bestFit="1" customWidth="1"/>
    <col min="14573" max="14573" width="10.28515625" bestFit="1" customWidth="1"/>
    <col min="14574" max="14575" width="9.28515625" bestFit="1" customWidth="1"/>
    <col min="14577" max="14577" width="10.28515625" bestFit="1" customWidth="1"/>
    <col min="14578" max="14579" width="9.28515625" bestFit="1" customWidth="1"/>
    <col min="14581" max="14581" width="10.28515625" bestFit="1" customWidth="1"/>
    <col min="14582" max="14583" width="9.28515625" bestFit="1" customWidth="1"/>
    <col min="14585" max="14585" width="10.28515625" bestFit="1" customWidth="1"/>
    <col min="14586" max="14587" width="9.28515625" bestFit="1" customWidth="1"/>
    <col min="14589" max="14589" width="10.28515625" bestFit="1" customWidth="1"/>
    <col min="14590" max="14591" width="9.28515625" bestFit="1" customWidth="1"/>
    <col min="14593" max="14593" width="10.28515625" bestFit="1" customWidth="1"/>
    <col min="14594" max="14595" width="9.28515625" bestFit="1" customWidth="1"/>
    <col min="14597" max="14597" width="10.28515625" bestFit="1" customWidth="1"/>
    <col min="14598" max="14599" width="9.28515625" bestFit="1" customWidth="1"/>
    <col min="14601" max="14601" width="10.28515625" bestFit="1" customWidth="1"/>
    <col min="14602" max="14603" width="9.28515625" bestFit="1" customWidth="1"/>
    <col min="14605" max="14605" width="10.28515625" bestFit="1" customWidth="1"/>
    <col min="14606" max="14607" width="9.28515625" bestFit="1" customWidth="1"/>
    <col min="14609" max="14609" width="10.28515625" bestFit="1" customWidth="1"/>
    <col min="14610" max="14611" width="9.28515625" bestFit="1" customWidth="1"/>
    <col min="14613" max="14613" width="10.28515625" bestFit="1" customWidth="1"/>
    <col min="14614" max="14615" width="9.28515625" bestFit="1" customWidth="1"/>
    <col min="14617" max="14617" width="10.28515625" bestFit="1" customWidth="1"/>
    <col min="14618" max="14619" width="9.28515625" bestFit="1" customWidth="1"/>
    <col min="14621" max="14621" width="10.28515625" bestFit="1" customWidth="1"/>
    <col min="14622" max="14623" width="9.28515625" bestFit="1" customWidth="1"/>
    <col min="14625" max="14625" width="10.28515625" bestFit="1" customWidth="1"/>
    <col min="14626" max="14627" width="9.28515625" bestFit="1" customWidth="1"/>
    <col min="14629" max="14629" width="10.28515625" bestFit="1" customWidth="1"/>
    <col min="14630" max="14631" width="9.28515625" bestFit="1" customWidth="1"/>
    <col min="14633" max="14633" width="10.28515625" bestFit="1" customWidth="1"/>
    <col min="14634" max="14635" width="9.28515625" bestFit="1" customWidth="1"/>
    <col min="14637" max="14637" width="10.28515625" bestFit="1" customWidth="1"/>
    <col min="14638" max="14639" width="9.28515625" bestFit="1" customWidth="1"/>
    <col min="14641" max="14641" width="10.28515625" bestFit="1" customWidth="1"/>
    <col min="14642" max="14643" width="9.28515625" bestFit="1" customWidth="1"/>
    <col min="14645" max="14645" width="10.28515625" bestFit="1" customWidth="1"/>
    <col min="14646" max="14647" width="9.28515625" bestFit="1" customWidth="1"/>
    <col min="14649" max="14649" width="10.28515625" bestFit="1" customWidth="1"/>
    <col min="14650" max="14651" width="9.28515625" bestFit="1" customWidth="1"/>
    <col min="14653" max="14653" width="10.28515625" bestFit="1" customWidth="1"/>
    <col min="14654" max="14655" width="9.28515625" bestFit="1" customWidth="1"/>
    <col min="14657" max="14657" width="10.28515625" bestFit="1" customWidth="1"/>
    <col min="14658" max="14659" width="9.28515625" bestFit="1" customWidth="1"/>
    <col min="14661" max="14661" width="10.28515625" bestFit="1" customWidth="1"/>
    <col min="14662" max="14663" width="9.28515625" bestFit="1" customWidth="1"/>
    <col min="14665" max="14665" width="10.28515625" bestFit="1" customWidth="1"/>
    <col min="14666" max="14667" width="9.28515625" bestFit="1" customWidth="1"/>
    <col min="14669" max="14669" width="10.28515625" bestFit="1" customWidth="1"/>
    <col min="14670" max="14671" width="9.28515625" bestFit="1" customWidth="1"/>
    <col min="14673" max="14673" width="10.28515625" bestFit="1" customWidth="1"/>
    <col min="14674" max="14675" width="9.28515625" bestFit="1" customWidth="1"/>
    <col min="14677" max="14677" width="10.28515625" bestFit="1" customWidth="1"/>
    <col min="14678" max="14679" width="9.28515625" bestFit="1" customWidth="1"/>
    <col min="14681" max="14681" width="10.28515625" bestFit="1" customWidth="1"/>
    <col min="14682" max="14683" width="9.28515625" bestFit="1" customWidth="1"/>
    <col min="14685" max="14685" width="10.28515625" bestFit="1" customWidth="1"/>
    <col min="14686" max="14687" width="9.28515625" bestFit="1" customWidth="1"/>
    <col min="14689" max="14689" width="10.28515625" bestFit="1" customWidth="1"/>
    <col min="14690" max="14691" width="9.28515625" bestFit="1" customWidth="1"/>
    <col min="14693" max="14693" width="10.28515625" bestFit="1" customWidth="1"/>
    <col min="14694" max="14695" width="9.28515625" bestFit="1" customWidth="1"/>
    <col min="14697" max="14697" width="10.28515625" bestFit="1" customWidth="1"/>
    <col min="14698" max="14699" width="9.28515625" bestFit="1" customWidth="1"/>
    <col min="14701" max="14701" width="10.28515625" bestFit="1" customWidth="1"/>
    <col min="14702" max="14703" width="9.28515625" bestFit="1" customWidth="1"/>
    <col min="14705" max="14705" width="10.28515625" bestFit="1" customWidth="1"/>
    <col min="14706" max="14707" width="9.28515625" bestFit="1" customWidth="1"/>
    <col min="14709" max="14709" width="10.28515625" bestFit="1" customWidth="1"/>
    <col min="14710" max="14711" width="9.28515625" bestFit="1" customWidth="1"/>
    <col min="14713" max="14713" width="10.28515625" bestFit="1" customWidth="1"/>
    <col min="14714" max="14715" width="9.28515625" bestFit="1" customWidth="1"/>
    <col min="14717" max="14717" width="10.28515625" bestFit="1" customWidth="1"/>
    <col min="14718" max="14719" width="9.28515625" bestFit="1" customWidth="1"/>
    <col min="14721" max="14721" width="10.28515625" bestFit="1" customWidth="1"/>
    <col min="14722" max="14723" width="9.28515625" bestFit="1" customWidth="1"/>
    <col min="14725" max="14725" width="10.28515625" bestFit="1" customWidth="1"/>
    <col min="14726" max="14727" width="9.28515625" bestFit="1" customWidth="1"/>
    <col min="14729" max="14729" width="10.28515625" bestFit="1" customWidth="1"/>
    <col min="14730" max="14731" width="9.28515625" bestFit="1" customWidth="1"/>
    <col min="14733" max="14733" width="10.28515625" bestFit="1" customWidth="1"/>
    <col min="14734" max="14735" width="9.28515625" bestFit="1" customWidth="1"/>
    <col min="14737" max="14737" width="10.28515625" bestFit="1" customWidth="1"/>
    <col min="14738" max="14739" width="9.28515625" bestFit="1" customWidth="1"/>
    <col min="14741" max="14741" width="10.28515625" bestFit="1" customWidth="1"/>
    <col min="14742" max="14743" width="9.28515625" bestFit="1" customWidth="1"/>
    <col min="14745" max="14745" width="10.28515625" bestFit="1" customWidth="1"/>
    <col min="14746" max="14747" width="9.28515625" bestFit="1" customWidth="1"/>
    <col min="14749" max="14749" width="10.28515625" bestFit="1" customWidth="1"/>
    <col min="14750" max="14751" width="9.28515625" bestFit="1" customWidth="1"/>
    <col min="14753" max="14753" width="10.28515625" bestFit="1" customWidth="1"/>
    <col min="14754" max="14755" width="9.28515625" bestFit="1" customWidth="1"/>
    <col min="14757" max="14757" width="10.28515625" bestFit="1" customWidth="1"/>
    <col min="14758" max="14759" width="9.28515625" bestFit="1" customWidth="1"/>
    <col min="14761" max="14761" width="10.28515625" bestFit="1" customWidth="1"/>
    <col min="14762" max="14763" width="9.28515625" bestFit="1" customWidth="1"/>
    <col min="14765" max="14765" width="10.28515625" bestFit="1" customWidth="1"/>
    <col min="14766" max="14767" width="9.28515625" bestFit="1" customWidth="1"/>
    <col min="14769" max="14769" width="10.28515625" bestFit="1" customWidth="1"/>
    <col min="14770" max="14771" width="9.28515625" bestFit="1" customWidth="1"/>
    <col min="14773" max="14773" width="10.28515625" bestFit="1" customWidth="1"/>
    <col min="14774" max="14775" width="9.28515625" bestFit="1" customWidth="1"/>
    <col min="14777" max="14777" width="10.28515625" bestFit="1" customWidth="1"/>
    <col min="14778" max="14779" width="9.28515625" bestFit="1" customWidth="1"/>
    <col min="14781" max="14781" width="10.28515625" bestFit="1" customWidth="1"/>
    <col min="14782" max="14783" width="9.28515625" bestFit="1" customWidth="1"/>
    <col min="14785" max="14785" width="10.28515625" bestFit="1" customWidth="1"/>
    <col min="14786" max="14787" width="9.28515625" bestFit="1" customWidth="1"/>
    <col min="14789" max="14789" width="10.28515625" bestFit="1" customWidth="1"/>
    <col min="14790" max="14791" width="9.28515625" bestFit="1" customWidth="1"/>
    <col min="14793" max="14793" width="10.28515625" bestFit="1" customWidth="1"/>
    <col min="14794" max="14795" width="9.28515625" bestFit="1" customWidth="1"/>
    <col min="14797" max="14797" width="10.28515625" bestFit="1" customWidth="1"/>
    <col min="14798" max="14799" width="9.28515625" bestFit="1" customWidth="1"/>
    <col min="14801" max="14801" width="10.28515625" bestFit="1" customWidth="1"/>
    <col min="14802" max="14803" width="9.28515625" bestFit="1" customWidth="1"/>
    <col min="14805" max="14805" width="10.28515625" bestFit="1" customWidth="1"/>
    <col min="14806" max="14807" width="9.28515625" bestFit="1" customWidth="1"/>
    <col min="14809" max="14809" width="10.28515625" bestFit="1" customWidth="1"/>
    <col min="14810" max="14811" width="9.28515625" bestFit="1" customWidth="1"/>
    <col min="14813" max="14813" width="10.28515625" bestFit="1" customWidth="1"/>
    <col min="14814" max="14815" width="9.28515625" bestFit="1" customWidth="1"/>
    <col min="14817" max="14817" width="10.28515625" bestFit="1" customWidth="1"/>
    <col min="14818" max="14819" width="9.28515625" bestFit="1" customWidth="1"/>
    <col min="14821" max="14821" width="10.28515625" bestFit="1" customWidth="1"/>
    <col min="14822" max="14823" width="9.28515625" bestFit="1" customWidth="1"/>
    <col min="14825" max="14825" width="10.28515625" bestFit="1" customWidth="1"/>
    <col min="14826" max="14827" width="9.28515625" bestFit="1" customWidth="1"/>
    <col min="14829" max="14829" width="10.28515625" bestFit="1" customWidth="1"/>
    <col min="14830" max="14831" width="9.28515625" bestFit="1" customWidth="1"/>
    <col min="14833" max="14833" width="10.28515625" bestFit="1" customWidth="1"/>
    <col min="14834" max="14835" width="9.28515625" bestFit="1" customWidth="1"/>
    <col min="14837" max="14837" width="10.28515625" bestFit="1" customWidth="1"/>
    <col min="14838" max="14839" width="9.28515625" bestFit="1" customWidth="1"/>
    <col min="14841" max="14841" width="10.28515625" bestFit="1" customWidth="1"/>
    <col min="14842" max="14843" width="9.28515625" bestFit="1" customWidth="1"/>
    <col min="14845" max="14845" width="10.28515625" bestFit="1" customWidth="1"/>
    <col min="14846" max="14847" width="9.28515625" bestFit="1" customWidth="1"/>
    <col min="14849" max="14849" width="10.28515625" bestFit="1" customWidth="1"/>
    <col min="14850" max="14851" width="9.28515625" bestFit="1" customWidth="1"/>
    <col min="14853" max="14853" width="10.28515625" bestFit="1" customWidth="1"/>
    <col min="14854" max="14855" width="9.28515625" bestFit="1" customWidth="1"/>
    <col min="14857" max="14857" width="10.28515625" bestFit="1" customWidth="1"/>
    <col min="14858" max="14859" width="9.28515625" bestFit="1" customWidth="1"/>
    <col min="14861" max="14861" width="10.28515625" bestFit="1" customWidth="1"/>
    <col min="14862" max="14863" width="9.28515625" bestFit="1" customWidth="1"/>
    <col min="14865" max="14865" width="10.28515625" bestFit="1" customWidth="1"/>
    <col min="14866" max="14867" width="9.28515625" bestFit="1" customWidth="1"/>
    <col min="14869" max="14869" width="10.28515625" bestFit="1" customWidth="1"/>
    <col min="14870" max="14871" width="9.28515625" bestFit="1" customWidth="1"/>
    <col min="14873" max="14873" width="10.28515625" bestFit="1" customWidth="1"/>
    <col min="14874" max="14875" width="9.28515625" bestFit="1" customWidth="1"/>
    <col min="14877" max="14877" width="10.28515625" bestFit="1" customWidth="1"/>
    <col min="14878" max="14879" width="9.28515625" bestFit="1" customWidth="1"/>
    <col min="14881" max="14881" width="10.28515625" bestFit="1" customWidth="1"/>
    <col min="14882" max="14883" width="9.28515625" bestFit="1" customWidth="1"/>
    <col min="14885" max="14885" width="10.28515625" bestFit="1" customWidth="1"/>
    <col min="14886" max="14887" width="9.28515625" bestFit="1" customWidth="1"/>
    <col min="14889" max="14889" width="10.28515625" bestFit="1" customWidth="1"/>
    <col min="14890" max="14891" width="9.28515625" bestFit="1" customWidth="1"/>
    <col min="14893" max="14893" width="10.28515625" bestFit="1" customWidth="1"/>
    <col min="14894" max="14895" width="9.28515625" bestFit="1" customWidth="1"/>
    <col min="14897" max="14897" width="10.28515625" bestFit="1" customWidth="1"/>
    <col min="14898" max="14899" width="9.28515625" bestFit="1" customWidth="1"/>
    <col min="14901" max="14901" width="10.28515625" bestFit="1" customWidth="1"/>
    <col min="14902" max="14903" width="9.28515625" bestFit="1" customWidth="1"/>
    <col min="14905" max="14905" width="10.28515625" bestFit="1" customWidth="1"/>
    <col min="14906" max="14907" width="9.28515625" bestFit="1" customWidth="1"/>
    <col min="14909" max="14909" width="10.28515625" bestFit="1" customWidth="1"/>
    <col min="14910" max="14911" width="9.28515625" bestFit="1" customWidth="1"/>
    <col min="14913" max="14913" width="10.28515625" bestFit="1" customWidth="1"/>
    <col min="14914" max="14915" width="9.28515625" bestFit="1" customWidth="1"/>
    <col min="14917" max="14917" width="10.28515625" bestFit="1" customWidth="1"/>
    <col min="14918" max="14919" width="9.28515625" bestFit="1" customWidth="1"/>
    <col min="14921" max="14921" width="10.28515625" bestFit="1" customWidth="1"/>
    <col min="14922" max="14923" width="9.28515625" bestFit="1" customWidth="1"/>
    <col min="14925" max="14925" width="10.28515625" bestFit="1" customWidth="1"/>
    <col min="14926" max="14927" width="9.28515625" bestFit="1" customWidth="1"/>
    <col min="14929" max="14929" width="10.28515625" bestFit="1" customWidth="1"/>
    <col min="14930" max="14931" width="9.28515625" bestFit="1" customWidth="1"/>
    <col min="14933" max="14933" width="10.28515625" bestFit="1" customWidth="1"/>
    <col min="14934" max="14935" width="9.28515625" bestFit="1" customWidth="1"/>
    <col min="14937" max="14937" width="10.28515625" bestFit="1" customWidth="1"/>
    <col min="14938" max="14939" width="9.28515625" bestFit="1" customWidth="1"/>
    <col min="14941" max="14941" width="10.28515625" bestFit="1" customWidth="1"/>
    <col min="14942" max="14943" width="9.28515625" bestFit="1" customWidth="1"/>
    <col min="14945" max="14945" width="10.28515625" bestFit="1" customWidth="1"/>
    <col min="14946" max="14947" width="9.28515625" bestFit="1" customWidth="1"/>
    <col min="14949" max="14949" width="10.28515625" bestFit="1" customWidth="1"/>
    <col min="14950" max="14951" width="9.28515625" bestFit="1" customWidth="1"/>
    <col min="14953" max="14953" width="10.28515625" bestFit="1" customWidth="1"/>
    <col min="14954" max="14955" width="9.28515625" bestFit="1" customWidth="1"/>
    <col min="14957" max="14957" width="10.28515625" bestFit="1" customWidth="1"/>
    <col min="14958" max="14959" width="9.28515625" bestFit="1" customWidth="1"/>
    <col min="14961" max="14961" width="10.28515625" bestFit="1" customWidth="1"/>
    <col min="14962" max="14963" width="9.28515625" bestFit="1" customWidth="1"/>
    <col min="14965" max="14965" width="10.28515625" bestFit="1" customWidth="1"/>
    <col min="14966" max="14967" width="9.28515625" bestFit="1" customWidth="1"/>
    <col min="14969" max="14969" width="10.28515625" bestFit="1" customWidth="1"/>
    <col min="14970" max="14971" width="9.28515625" bestFit="1" customWidth="1"/>
    <col min="14973" max="14973" width="10.28515625" bestFit="1" customWidth="1"/>
    <col min="14974" max="14975" width="9.28515625" bestFit="1" customWidth="1"/>
    <col min="14977" max="14977" width="10.28515625" bestFit="1" customWidth="1"/>
    <col min="14978" max="14979" width="9.28515625" bestFit="1" customWidth="1"/>
    <col min="14981" max="14981" width="10.28515625" bestFit="1" customWidth="1"/>
    <col min="14982" max="14983" width="9.28515625" bestFit="1" customWidth="1"/>
    <col min="14985" max="14985" width="10.28515625" bestFit="1" customWidth="1"/>
    <col min="14986" max="14987" width="9.28515625" bestFit="1" customWidth="1"/>
    <col min="14989" max="14989" width="10.28515625" bestFit="1" customWidth="1"/>
    <col min="14990" max="14991" width="9.28515625" bestFit="1" customWidth="1"/>
    <col min="14993" max="14993" width="10.28515625" bestFit="1" customWidth="1"/>
    <col min="14994" max="14995" width="9.28515625" bestFit="1" customWidth="1"/>
    <col min="14997" max="14997" width="10.28515625" bestFit="1" customWidth="1"/>
    <col min="14998" max="14999" width="9.28515625" bestFit="1" customWidth="1"/>
    <col min="15001" max="15001" width="10.28515625" bestFit="1" customWidth="1"/>
    <col min="15002" max="15003" width="9.28515625" bestFit="1" customWidth="1"/>
    <col min="15005" max="15005" width="10.28515625" bestFit="1" customWidth="1"/>
    <col min="15006" max="15007" width="9.28515625" bestFit="1" customWidth="1"/>
    <col min="15009" max="15009" width="10.28515625" bestFit="1" customWidth="1"/>
    <col min="15010" max="15011" width="9.28515625" bestFit="1" customWidth="1"/>
    <col min="15013" max="15013" width="10.28515625" bestFit="1" customWidth="1"/>
    <col min="15014" max="15015" width="9.28515625" bestFit="1" customWidth="1"/>
    <col min="15017" max="15017" width="10.28515625" bestFit="1" customWidth="1"/>
    <col min="15018" max="15019" width="9.28515625" bestFit="1" customWidth="1"/>
    <col min="15021" max="15021" width="10.28515625" bestFit="1" customWidth="1"/>
    <col min="15022" max="15023" width="9.28515625" bestFit="1" customWidth="1"/>
    <col min="15025" max="15025" width="10.28515625" bestFit="1" customWidth="1"/>
    <col min="15026" max="15027" width="9.28515625" bestFit="1" customWidth="1"/>
    <col min="15029" max="15029" width="10.28515625" bestFit="1" customWidth="1"/>
    <col min="15030" max="15031" width="9.28515625" bestFit="1" customWidth="1"/>
    <col min="15033" max="15033" width="10.28515625" bestFit="1" customWidth="1"/>
    <col min="15034" max="15035" width="9.28515625" bestFit="1" customWidth="1"/>
    <col min="15037" max="15037" width="10.28515625" bestFit="1" customWidth="1"/>
    <col min="15038" max="15039" width="9.28515625" bestFit="1" customWidth="1"/>
    <col min="15041" max="15041" width="10.28515625" bestFit="1" customWidth="1"/>
    <col min="15042" max="15043" width="9.28515625" bestFit="1" customWidth="1"/>
    <col min="15045" max="15045" width="10.28515625" bestFit="1" customWidth="1"/>
    <col min="15046" max="15047" width="9.28515625" bestFit="1" customWidth="1"/>
    <col min="15049" max="15049" width="10.28515625" bestFit="1" customWidth="1"/>
    <col min="15050" max="15051" width="9.28515625" bestFit="1" customWidth="1"/>
    <col min="15053" max="15053" width="10.28515625" bestFit="1" customWidth="1"/>
    <col min="15054" max="15055" width="9.28515625" bestFit="1" customWidth="1"/>
    <col min="15057" max="15057" width="10.28515625" bestFit="1" customWidth="1"/>
    <col min="15058" max="15059" width="9.28515625" bestFit="1" customWidth="1"/>
    <col min="15061" max="15061" width="10.28515625" bestFit="1" customWidth="1"/>
    <col min="15062" max="15063" width="9.28515625" bestFit="1" customWidth="1"/>
    <col min="15065" max="15065" width="10.28515625" bestFit="1" customWidth="1"/>
    <col min="15066" max="15067" width="9.28515625" bestFit="1" customWidth="1"/>
    <col min="15069" max="15069" width="10.28515625" bestFit="1" customWidth="1"/>
    <col min="15070" max="15071" width="9.28515625" bestFit="1" customWidth="1"/>
    <col min="15073" max="15073" width="10.28515625" bestFit="1" customWidth="1"/>
    <col min="15074" max="15075" width="9.28515625" bestFit="1" customWidth="1"/>
    <col min="15077" max="15077" width="10.28515625" bestFit="1" customWidth="1"/>
    <col min="15078" max="15079" width="9.28515625" bestFit="1" customWidth="1"/>
    <col min="15081" max="15081" width="10.28515625" bestFit="1" customWidth="1"/>
    <col min="15082" max="15083" width="9.28515625" bestFit="1" customWidth="1"/>
    <col min="15085" max="15085" width="10.28515625" bestFit="1" customWidth="1"/>
    <col min="15086" max="15087" width="9.28515625" bestFit="1" customWidth="1"/>
    <col min="15089" max="15089" width="10.28515625" bestFit="1" customWidth="1"/>
    <col min="15090" max="15091" width="9.28515625" bestFit="1" customWidth="1"/>
    <col min="15093" max="15093" width="10.28515625" bestFit="1" customWidth="1"/>
    <col min="15094" max="15095" width="9.28515625" bestFit="1" customWidth="1"/>
    <col min="15097" max="15097" width="10.28515625" bestFit="1" customWidth="1"/>
    <col min="15098" max="15099" width="9.28515625" bestFit="1" customWidth="1"/>
    <col min="15101" max="15101" width="10.28515625" bestFit="1" customWidth="1"/>
    <col min="15102" max="15103" width="9.28515625" bestFit="1" customWidth="1"/>
    <col min="15105" max="15105" width="10.28515625" bestFit="1" customWidth="1"/>
    <col min="15106" max="15107" width="9.28515625" bestFit="1" customWidth="1"/>
    <col min="15109" max="15109" width="10.28515625" bestFit="1" customWidth="1"/>
    <col min="15110" max="15111" width="9.28515625" bestFit="1" customWidth="1"/>
    <col min="15113" max="15113" width="10.28515625" bestFit="1" customWidth="1"/>
    <col min="15114" max="15115" width="9.28515625" bestFit="1" customWidth="1"/>
    <col min="15117" max="15117" width="10.28515625" bestFit="1" customWidth="1"/>
    <col min="15118" max="15119" width="9.28515625" bestFit="1" customWidth="1"/>
    <col min="15121" max="15121" width="10.28515625" bestFit="1" customWidth="1"/>
    <col min="15122" max="15123" width="9.28515625" bestFit="1" customWidth="1"/>
    <col min="15125" max="15125" width="10.28515625" bestFit="1" customWidth="1"/>
    <col min="15126" max="15127" width="9.28515625" bestFit="1" customWidth="1"/>
    <col min="15129" max="15129" width="10.28515625" bestFit="1" customWidth="1"/>
    <col min="15130" max="15131" width="9.28515625" bestFit="1" customWidth="1"/>
    <col min="15133" max="15133" width="10.28515625" bestFit="1" customWidth="1"/>
    <col min="15134" max="15135" width="9.28515625" bestFit="1" customWidth="1"/>
    <col min="15137" max="15137" width="10.28515625" bestFit="1" customWidth="1"/>
    <col min="15138" max="15139" width="9.28515625" bestFit="1" customWidth="1"/>
    <col min="15141" max="15141" width="10.28515625" bestFit="1" customWidth="1"/>
    <col min="15142" max="15143" width="9.28515625" bestFit="1" customWidth="1"/>
    <col min="15145" max="15145" width="10.28515625" bestFit="1" customWidth="1"/>
    <col min="15146" max="15147" width="9.28515625" bestFit="1" customWidth="1"/>
    <col min="15149" max="15149" width="10.28515625" bestFit="1" customWidth="1"/>
    <col min="15150" max="15151" width="9.28515625" bestFit="1" customWidth="1"/>
    <col min="15153" max="15153" width="10.28515625" bestFit="1" customWidth="1"/>
    <col min="15154" max="15155" width="9.28515625" bestFit="1" customWidth="1"/>
    <col min="15157" max="15157" width="10.28515625" bestFit="1" customWidth="1"/>
    <col min="15158" max="15159" width="9.28515625" bestFit="1" customWidth="1"/>
    <col min="15161" max="15161" width="10.28515625" bestFit="1" customWidth="1"/>
    <col min="15162" max="15163" width="9.28515625" bestFit="1" customWidth="1"/>
    <col min="15165" max="15165" width="10.28515625" bestFit="1" customWidth="1"/>
    <col min="15166" max="15167" width="9.28515625" bestFit="1" customWidth="1"/>
    <col min="15169" max="15169" width="10.28515625" bestFit="1" customWidth="1"/>
    <col min="15170" max="15171" width="9.28515625" bestFit="1" customWidth="1"/>
    <col min="15173" max="15173" width="10.28515625" bestFit="1" customWidth="1"/>
    <col min="15174" max="15175" width="9.28515625" bestFit="1" customWidth="1"/>
    <col min="15177" max="15177" width="10.28515625" bestFit="1" customWidth="1"/>
    <col min="15178" max="15179" width="9.28515625" bestFit="1" customWidth="1"/>
    <col min="15181" max="15181" width="10.28515625" bestFit="1" customWidth="1"/>
    <col min="15182" max="15183" width="9.28515625" bestFit="1" customWidth="1"/>
    <col min="15185" max="15185" width="10.28515625" bestFit="1" customWidth="1"/>
    <col min="15186" max="15187" width="9.28515625" bestFit="1" customWidth="1"/>
    <col min="15189" max="15189" width="10.28515625" bestFit="1" customWidth="1"/>
    <col min="15190" max="15191" width="9.28515625" bestFit="1" customWidth="1"/>
    <col min="15193" max="15193" width="10.28515625" bestFit="1" customWidth="1"/>
    <col min="15194" max="15195" width="9.28515625" bestFit="1" customWidth="1"/>
    <col min="15197" max="15197" width="10.28515625" bestFit="1" customWidth="1"/>
    <col min="15198" max="15199" width="9.28515625" bestFit="1" customWidth="1"/>
    <col min="15201" max="15201" width="10.28515625" bestFit="1" customWidth="1"/>
    <col min="15202" max="15203" width="9.28515625" bestFit="1" customWidth="1"/>
    <col min="15205" max="15205" width="10.28515625" bestFit="1" customWidth="1"/>
    <col min="15206" max="15207" width="9.28515625" bestFit="1" customWidth="1"/>
    <col min="15209" max="15209" width="10.28515625" bestFit="1" customWidth="1"/>
    <col min="15210" max="15211" width="9.28515625" bestFit="1" customWidth="1"/>
    <col min="15213" max="15213" width="10.28515625" bestFit="1" customWidth="1"/>
    <col min="15214" max="15215" width="9.28515625" bestFit="1" customWidth="1"/>
    <col min="15217" max="15217" width="10.28515625" bestFit="1" customWidth="1"/>
    <col min="15218" max="15219" width="9.28515625" bestFit="1" customWidth="1"/>
    <col min="15221" max="15221" width="10.28515625" bestFit="1" customWidth="1"/>
    <col min="15222" max="15223" width="9.28515625" bestFit="1" customWidth="1"/>
    <col min="15225" max="15225" width="10.28515625" bestFit="1" customWidth="1"/>
    <col min="15226" max="15227" width="9.28515625" bestFit="1" customWidth="1"/>
    <col min="15229" max="15229" width="10.28515625" bestFit="1" customWidth="1"/>
    <col min="15230" max="15231" width="9.28515625" bestFit="1" customWidth="1"/>
    <col min="15233" max="15233" width="10.28515625" bestFit="1" customWidth="1"/>
    <col min="15234" max="15235" width="9.28515625" bestFit="1" customWidth="1"/>
    <col min="15237" max="15237" width="10.28515625" bestFit="1" customWidth="1"/>
    <col min="15238" max="15239" width="9.28515625" bestFit="1" customWidth="1"/>
    <col min="15241" max="15241" width="10.28515625" bestFit="1" customWidth="1"/>
    <col min="15242" max="15243" width="9.28515625" bestFit="1" customWidth="1"/>
    <col min="15245" max="15245" width="10.28515625" bestFit="1" customWidth="1"/>
    <col min="15246" max="15247" width="9.28515625" bestFit="1" customWidth="1"/>
    <col min="15249" max="15249" width="10.28515625" bestFit="1" customWidth="1"/>
    <col min="15250" max="15251" width="9.28515625" bestFit="1" customWidth="1"/>
    <col min="15253" max="15253" width="10.28515625" bestFit="1" customWidth="1"/>
    <col min="15254" max="15255" width="9.28515625" bestFit="1" customWidth="1"/>
    <col min="15257" max="15257" width="10.28515625" bestFit="1" customWidth="1"/>
    <col min="15258" max="15259" width="9.28515625" bestFit="1" customWidth="1"/>
    <col min="15261" max="15261" width="10.28515625" bestFit="1" customWidth="1"/>
    <col min="15262" max="15263" width="9.28515625" bestFit="1" customWidth="1"/>
    <col min="15265" max="15265" width="10.28515625" bestFit="1" customWidth="1"/>
    <col min="15266" max="15267" width="9.28515625" bestFit="1" customWidth="1"/>
    <col min="15269" max="15269" width="10.28515625" bestFit="1" customWidth="1"/>
    <col min="15270" max="15271" width="9.28515625" bestFit="1" customWidth="1"/>
    <col min="15273" max="15273" width="10.28515625" bestFit="1" customWidth="1"/>
    <col min="15274" max="15275" width="9.28515625" bestFit="1" customWidth="1"/>
    <col min="15277" max="15277" width="10.28515625" bestFit="1" customWidth="1"/>
    <col min="15278" max="15279" width="9.28515625" bestFit="1" customWidth="1"/>
    <col min="15281" max="15281" width="10.28515625" bestFit="1" customWidth="1"/>
    <col min="15282" max="15283" width="9.28515625" bestFit="1" customWidth="1"/>
    <col min="15285" max="15285" width="10.28515625" bestFit="1" customWidth="1"/>
    <col min="15286" max="15287" width="9.28515625" bestFit="1" customWidth="1"/>
    <col min="15289" max="15289" width="10.28515625" bestFit="1" customWidth="1"/>
    <col min="15290" max="15291" width="9.28515625" bestFit="1" customWidth="1"/>
    <col min="15293" max="15293" width="10.28515625" bestFit="1" customWidth="1"/>
    <col min="15294" max="15295" width="9.28515625" bestFit="1" customWidth="1"/>
    <col min="15297" max="15297" width="10.28515625" bestFit="1" customWidth="1"/>
    <col min="15298" max="15299" width="9.28515625" bestFit="1" customWidth="1"/>
    <col min="15301" max="15301" width="10.28515625" bestFit="1" customWidth="1"/>
    <col min="15302" max="15303" width="9.28515625" bestFit="1" customWidth="1"/>
    <col min="15305" max="15305" width="10.28515625" bestFit="1" customWidth="1"/>
    <col min="15306" max="15307" width="9.28515625" bestFit="1" customWidth="1"/>
    <col min="15309" max="15309" width="10.28515625" bestFit="1" customWidth="1"/>
    <col min="15310" max="15311" width="9.28515625" bestFit="1" customWidth="1"/>
    <col min="15313" max="15313" width="10.28515625" bestFit="1" customWidth="1"/>
    <col min="15314" max="15315" width="9.28515625" bestFit="1" customWidth="1"/>
    <col min="15317" max="15317" width="10.28515625" bestFit="1" customWidth="1"/>
    <col min="15318" max="15319" width="9.28515625" bestFit="1" customWidth="1"/>
    <col min="15321" max="15321" width="10.28515625" bestFit="1" customWidth="1"/>
    <col min="15322" max="15323" width="9.28515625" bestFit="1" customWidth="1"/>
    <col min="15325" max="15325" width="10.28515625" bestFit="1" customWidth="1"/>
    <col min="15326" max="15327" width="9.28515625" bestFit="1" customWidth="1"/>
    <col min="15329" max="15329" width="10.28515625" bestFit="1" customWidth="1"/>
    <col min="15330" max="15331" width="9.28515625" bestFit="1" customWidth="1"/>
    <col min="15333" max="15333" width="10.28515625" bestFit="1" customWidth="1"/>
    <col min="15334" max="15335" width="9.28515625" bestFit="1" customWidth="1"/>
    <col min="15337" max="15337" width="10.28515625" bestFit="1" customWidth="1"/>
    <col min="15338" max="15339" width="9.28515625" bestFit="1" customWidth="1"/>
    <col min="15341" max="15341" width="10.28515625" bestFit="1" customWidth="1"/>
    <col min="15342" max="15343" width="9.28515625" bestFit="1" customWidth="1"/>
    <col min="15345" max="15345" width="10.28515625" bestFit="1" customWidth="1"/>
    <col min="15346" max="15347" width="9.28515625" bestFit="1" customWidth="1"/>
    <col min="15349" max="15349" width="10.28515625" bestFit="1" customWidth="1"/>
    <col min="15350" max="15351" width="9.28515625" bestFit="1" customWidth="1"/>
    <col min="15353" max="15353" width="10.28515625" bestFit="1" customWidth="1"/>
    <col min="15354" max="15355" width="9.28515625" bestFit="1" customWidth="1"/>
    <col min="15357" max="15357" width="10.28515625" bestFit="1" customWidth="1"/>
    <col min="15358" max="15359" width="9.28515625" bestFit="1" customWidth="1"/>
    <col min="15361" max="15361" width="10.28515625" bestFit="1" customWidth="1"/>
    <col min="15362" max="15363" width="9.28515625" bestFit="1" customWidth="1"/>
    <col min="15365" max="15365" width="10.28515625" bestFit="1" customWidth="1"/>
    <col min="15366" max="15367" width="9.28515625" bestFit="1" customWidth="1"/>
    <col min="15369" max="15369" width="10.28515625" bestFit="1" customWidth="1"/>
    <col min="15370" max="15371" width="9.28515625" bestFit="1" customWidth="1"/>
    <col min="15373" max="15373" width="10.28515625" bestFit="1" customWidth="1"/>
    <col min="15374" max="15375" width="9.28515625" bestFit="1" customWidth="1"/>
    <col min="15377" max="15377" width="10.28515625" bestFit="1" customWidth="1"/>
    <col min="15378" max="15379" width="9.28515625" bestFit="1" customWidth="1"/>
    <col min="15381" max="15381" width="10.28515625" bestFit="1" customWidth="1"/>
    <col min="15382" max="15383" width="9.28515625" bestFit="1" customWidth="1"/>
    <col min="15385" max="15385" width="10.28515625" bestFit="1" customWidth="1"/>
    <col min="15386" max="15387" width="9.28515625" bestFit="1" customWidth="1"/>
    <col min="15389" max="15389" width="10.28515625" bestFit="1" customWidth="1"/>
    <col min="15390" max="15391" width="9.28515625" bestFit="1" customWidth="1"/>
    <col min="15393" max="15393" width="10.28515625" bestFit="1" customWidth="1"/>
    <col min="15394" max="15395" width="9.28515625" bestFit="1" customWidth="1"/>
    <col min="15397" max="15397" width="10.28515625" bestFit="1" customWidth="1"/>
    <col min="15398" max="15399" width="9.28515625" bestFit="1" customWidth="1"/>
    <col min="15401" max="15401" width="10.28515625" bestFit="1" customWidth="1"/>
    <col min="15402" max="15403" width="9.28515625" bestFit="1" customWidth="1"/>
    <col min="15405" max="15405" width="10.28515625" bestFit="1" customWidth="1"/>
    <col min="15406" max="15407" width="9.28515625" bestFit="1" customWidth="1"/>
    <col min="15409" max="15409" width="10.28515625" bestFit="1" customWidth="1"/>
    <col min="15410" max="15411" width="9.28515625" bestFit="1" customWidth="1"/>
    <col min="15413" max="15413" width="10.28515625" bestFit="1" customWidth="1"/>
    <col min="15414" max="15415" width="9.28515625" bestFit="1" customWidth="1"/>
    <col min="15417" max="15417" width="10.28515625" bestFit="1" customWidth="1"/>
    <col min="15418" max="15419" width="9.28515625" bestFit="1" customWidth="1"/>
    <col min="15421" max="15421" width="10.28515625" bestFit="1" customWidth="1"/>
    <col min="15422" max="15423" width="9.28515625" bestFit="1" customWidth="1"/>
    <col min="15425" max="15425" width="10.28515625" bestFit="1" customWidth="1"/>
    <col min="15426" max="15427" width="9.28515625" bestFit="1" customWidth="1"/>
    <col min="15429" max="15429" width="10.28515625" bestFit="1" customWidth="1"/>
    <col min="15430" max="15431" width="9.28515625" bestFit="1" customWidth="1"/>
    <col min="15433" max="15433" width="10.28515625" bestFit="1" customWidth="1"/>
    <col min="15434" max="15435" width="9.28515625" bestFit="1" customWidth="1"/>
    <col min="15437" max="15437" width="10.28515625" bestFit="1" customWidth="1"/>
    <col min="15438" max="15439" width="9.28515625" bestFit="1" customWidth="1"/>
    <col min="15441" max="15441" width="10.28515625" bestFit="1" customWidth="1"/>
    <col min="15442" max="15443" width="9.28515625" bestFit="1" customWidth="1"/>
    <col min="15445" max="15445" width="10.28515625" bestFit="1" customWidth="1"/>
    <col min="15446" max="15447" width="9.28515625" bestFit="1" customWidth="1"/>
    <col min="15449" max="15449" width="10.28515625" bestFit="1" customWidth="1"/>
    <col min="15450" max="15451" width="9.28515625" bestFit="1" customWidth="1"/>
    <col min="15453" max="15453" width="10.28515625" bestFit="1" customWidth="1"/>
    <col min="15454" max="15455" width="9.28515625" bestFit="1" customWidth="1"/>
    <col min="15457" max="15457" width="10.28515625" bestFit="1" customWidth="1"/>
    <col min="15458" max="15459" width="9.28515625" bestFit="1" customWidth="1"/>
    <col min="15461" max="15461" width="10.28515625" bestFit="1" customWidth="1"/>
    <col min="15462" max="15463" width="9.28515625" bestFit="1" customWidth="1"/>
    <col min="15465" max="15465" width="10.28515625" bestFit="1" customWidth="1"/>
    <col min="15466" max="15467" width="9.28515625" bestFit="1" customWidth="1"/>
    <col min="15469" max="15469" width="10.28515625" bestFit="1" customWidth="1"/>
    <col min="15470" max="15471" width="9.28515625" bestFit="1" customWidth="1"/>
    <col min="15473" max="15473" width="10.28515625" bestFit="1" customWidth="1"/>
    <col min="15474" max="15475" width="9.28515625" bestFit="1" customWidth="1"/>
    <col min="15477" max="15477" width="10.28515625" bestFit="1" customWidth="1"/>
    <col min="15478" max="15479" width="9.28515625" bestFit="1" customWidth="1"/>
    <col min="15481" max="15481" width="10.28515625" bestFit="1" customWidth="1"/>
    <col min="15482" max="15483" width="9.28515625" bestFit="1" customWidth="1"/>
    <col min="15485" max="15485" width="10.28515625" bestFit="1" customWidth="1"/>
    <col min="15486" max="15487" width="9.28515625" bestFit="1" customWidth="1"/>
    <col min="15489" max="15489" width="10.28515625" bestFit="1" customWidth="1"/>
    <col min="15490" max="15491" width="9.28515625" bestFit="1" customWidth="1"/>
    <col min="15493" max="15493" width="10.28515625" bestFit="1" customWidth="1"/>
    <col min="15494" max="15495" width="9.28515625" bestFit="1" customWidth="1"/>
    <col min="15497" max="15497" width="10.28515625" bestFit="1" customWidth="1"/>
    <col min="15498" max="15499" width="9.28515625" bestFit="1" customWidth="1"/>
    <col min="15501" max="15501" width="10.28515625" bestFit="1" customWidth="1"/>
    <col min="15502" max="15503" width="9.28515625" bestFit="1" customWidth="1"/>
    <col min="15505" max="15505" width="10.28515625" bestFit="1" customWidth="1"/>
    <col min="15506" max="15507" width="9.28515625" bestFit="1" customWidth="1"/>
    <col min="15509" max="15509" width="10.28515625" bestFit="1" customWidth="1"/>
    <col min="15510" max="15511" width="9.28515625" bestFit="1" customWidth="1"/>
    <col min="15513" max="15513" width="10.28515625" bestFit="1" customWidth="1"/>
    <col min="15514" max="15515" width="9.28515625" bestFit="1" customWidth="1"/>
    <col min="15517" max="15517" width="10.28515625" bestFit="1" customWidth="1"/>
    <col min="15518" max="15519" width="9.28515625" bestFit="1" customWidth="1"/>
    <col min="15521" max="15521" width="10.28515625" bestFit="1" customWidth="1"/>
    <col min="15522" max="15523" width="9.28515625" bestFit="1" customWidth="1"/>
    <col min="15525" max="15525" width="10.28515625" bestFit="1" customWidth="1"/>
    <col min="15526" max="15527" width="9.28515625" bestFit="1" customWidth="1"/>
    <col min="15529" max="15529" width="10.28515625" bestFit="1" customWidth="1"/>
    <col min="15530" max="15531" width="9.28515625" bestFit="1" customWidth="1"/>
    <col min="15533" max="15533" width="10.28515625" bestFit="1" customWidth="1"/>
    <col min="15534" max="15535" width="9.28515625" bestFit="1" customWidth="1"/>
    <col min="15537" max="15537" width="10.28515625" bestFit="1" customWidth="1"/>
    <col min="15538" max="15539" width="9.28515625" bestFit="1" customWidth="1"/>
    <col min="15541" max="15541" width="10.28515625" bestFit="1" customWidth="1"/>
    <col min="15542" max="15543" width="9.28515625" bestFit="1" customWidth="1"/>
    <col min="15545" max="15545" width="10.28515625" bestFit="1" customWidth="1"/>
    <col min="15546" max="15547" width="9.28515625" bestFit="1" customWidth="1"/>
    <col min="15549" max="15549" width="10.28515625" bestFit="1" customWidth="1"/>
    <col min="15550" max="15551" width="9.28515625" bestFit="1" customWidth="1"/>
    <col min="15553" max="15553" width="10.28515625" bestFit="1" customWidth="1"/>
    <col min="15554" max="15555" width="9.28515625" bestFit="1" customWidth="1"/>
    <col min="15557" max="15557" width="10.28515625" bestFit="1" customWidth="1"/>
    <col min="15558" max="15559" width="9.28515625" bestFit="1" customWidth="1"/>
    <col min="15561" max="15561" width="10.28515625" bestFit="1" customWidth="1"/>
    <col min="15562" max="15563" width="9.28515625" bestFit="1" customWidth="1"/>
    <col min="15565" max="15565" width="10.28515625" bestFit="1" customWidth="1"/>
    <col min="15566" max="15567" width="9.28515625" bestFit="1" customWidth="1"/>
    <col min="15569" max="15569" width="10.28515625" bestFit="1" customWidth="1"/>
    <col min="15570" max="15571" width="9.28515625" bestFit="1" customWidth="1"/>
    <col min="15573" max="15573" width="10.28515625" bestFit="1" customWidth="1"/>
    <col min="15574" max="15575" width="9.28515625" bestFit="1" customWidth="1"/>
    <col min="15577" max="15577" width="10.28515625" bestFit="1" customWidth="1"/>
    <col min="15578" max="15579" width="9.28515625" bestFit="1" customWidth="1"/>
    <col min="15581" max="15581" width="10.28515625" bestFit="1" customWidth="1"/>
    <col min="15582" max="15583" width="9.28515625" bestFit="1" customWidth="1"/>
    <col min="15585" max="15585" width="10.28515625" bestFit="1" customWidth="1"/>
    <col min="15586" max="15587" width="9.28515625" bestFit="1" customWidth="1"/>
    <col min="15589" max="15589" width="10.28515625" bestFit="1" customWidth="1"/>
    <col min="15590" max="15591" width="9.28515625" bestFit="1" customWidth="1"/>
    <col min="15593" max="15593" width="10.28515625" bestFit="1" customWidth="1"/>
    <col min="15594" max="15595" width="9.28515625" bestFit="1" customWidth="1"/>
    <col min="15597" max="15597" width="10.28515625" bestFit="1" customWidth="1"/>
    <col min="15598" max="15599" width="9.28515625" bestFit="1" customWidth="1"/>
    <col min="15601" max="15601" width="10.28515625" bestFit="1" customWidth="1"/>
    <col min="15602" max="15603" width="9.28515625" bestFit="1" customWidth="1"/>
    <col min="15605" max="15605" width="10.28515625" bestFit="1" customWidth="1"/>
    <col min="15606" max="15607" width="9.28515625" bestFit="1" customWidth="1"/>
    <col min="15609" max="15609" width="10.28515625" bestFit="1" customWidth="1"/>
    <col min="15610" max="15611" width="9.28515625" bestFit="1" customWidth="1"/>
    <col min="15613" max="15613" width="10.28515625" bestFit="1" customWidth="1"/>
    <col min="15614" max="15615" width="9.28515625" bestFit="1" customWidth="1"/>
    <col min="15617" max="15617" width="10.28515625" bestFit="1" customWidth="1"/>
    <col min="15618" max="15619" width="9.28515625" bestFit="1" customWidth="1"/>
    <col min="15621" max="15621" width="10.28515625" bestFit="1" customWidth="1"/>
    <col min="15622" max="15623" width="9.28515625" bestFit="1" customWidth="1"/>
    <col min="15625" max="15625" width="10.28515625" bestFit="1" customWidth="1"/>
    <col min="15626" max="15627" width="9.28515625" bestFit="1" customWidth="1"/>
    <col min="15629" max="15629" width="10.28515625" bestFit="1" customWidth="1"/>
    <col min="15630" max="15631" width="9.28515625" bestFit="1" customWidth="1"/>
    <col min="15633" max="15633" width="10.28515625" bestFit="1" customWidth="1"/>
    <col min="15634" max="15635" width="9.28515625" bestFit="1" customWidth="1"/>
    <col min="15637" max="15637" width="10.28515625" bestFit="1" customWidth="1"/>
    <col min="15638" max="15639" width="9.28515625" bestFit="1" customWidth="1"/>
    <col min="15641" max="15641" width="10.28515625" bestFit="1" customWidth="1"/>
    <col min="15642" max="15643" width="9.28515625" bestFit="1" customWidth="1"/>
    <col min="15645" max="15645" width="10.28515625" bestFit="1" customWidth="1"/>
    <col min="15646" max="15647" width="9.28515625" bestFit="1" customWidth="1"/>
    <col min="15649" max="15649" width="10.28515625" bestFit="1" customWidth="1"/>
    <col min="15650" max="15651" width="9.28515625" bestFit="1" customWidth="1"/>
    <col min="15653" max="15653" width="10.28515625" bestFit="1" customWidth="1"/>
    <col min="15654" max="15655" width="9.28515625" bestFit="1" customWidth="1"/>
    <col min="15657" max="15657" width="10.28515625" bestFit="1" customWidth="1"/>
    <col min="15658" max="15659" width="9.28515625" bestFit="1" customWidth="1"/>
    <col min="15661" max="15661" width="10.28515625" bestFit="1" customWidth="1"/>
    <col min="15662" max="15663" width="9.28515625" bestFit="1" customWidth="1"/>
    <col min="15665" max="15665" width="10.28515625" bestFit="1" customWidth="1"/>
    <col min="15666" max="15667" width="9.28515625" bestFit="1" customWidth="1"/>
    <col min="15669" max="15669" width="10.28515625" bestFit="1" customWidth="1"/>
    <col min="15670" max="15671" width="9.28515625" bestFit="1" customWidth="1"/>
    <col min="15673" max="15673" width="10.28515625" bestFit="1" customWidth="1"/>
    <col min="15674" max="15675" width="9.28515625" bestFit="1" customWidth="1"/>
    <col min="15677" max="15677" width="10.28515625" bestFit="1" customWidth="1"/>
    <col min="15678" max="15679" width="9.28515625" bestFit="1" customWidth="1"/>
    <col min="15681" max="15681" width="10.28515625" bestFit="1" customWidth="1"/>
    <col min="15682" max="15683" width="9.28515625" bestFit="1" customWidth="1"/>
    <col min="15685" max="15685" width="10.28515625" bestFit="1" customWidth="1"/>
    <col min="15686" max="15687" width="9.28515625" bestFit="1" customWidth="1"/>
    <col min="15689" max="15689" width="10.28515625" bestFit="1" customWidth="1"/>
    <col min="15690" max="15691" width="9.28515625" bestFit="1" customWidth="1"/>
    <col min="15693" max="15693" width="10.28515625" bestFit="1" customWidth="1"/>
    <col min="15694" max="15695" width="9.28515625" bestFit="1" customWidth="1"/>
    <col min="15697" max="15697" width="10.28515625" bestFit="1" customWidth="1"/>
    <col min="15698" max="15699" width="9.28515625" bestFit="1" customWidth="1"/>
    <col min="15701" max="15701" width="10.28515625" bestFit="1" customWidth="1"/>
    <col min="15702" max="15703" width="9.28515625" bestFit="1" customWidth="1"/>
    <col min="15705" max="15705" width="10.28515625" bestFit="1" customWidth="1"/>
    <col min="15706" max="15707" width="9.28515625" bestFit="1" customWidth="1"/>
    <col min="15709" max="15709" width="10.28515625" bestFit="1" customWidth="1"/>
    <col min="15710" max="15711" width="9.28515625" bestFit="1" customWidth="1"/>
    <col min="15713" max="15713" width="10.28515625" bestFit="1" customWidth="1"/>
    <col min="15714" max="15715" width="9.28515625" bestFit="1" customWidth="1"/>
    <col min="15717" max="15717" width="10.28515625" bestFit="1" customWidth="1"/>
    <col min="15718" max="15719" width="9.28515625" bestFit="1" customWidth="1"/>
    <col min="15721" max="15721" width="10.28515625" bestFit="1" customWidth="1"/>
    <col min="15722" max="15723" width="9.28515625" bestFit="1" customWidth="1"/>
    <col min="15725" max="15725" width="10.28515625" bestFit="1" customWidth="1"/>
    <col min="15726" max="15727" width="9.28515625" bestFit="1" customWidth="1"/>
    <col min="15729" max="15729" width="10.28515625" bestFit="1" customWidth="1"/>
    <col min="15730" max="15731" width="9.28515625" bestFit="1" customWidth="1"/>
    <col min="15733" max="15733" width="10.28515625" bestFit="1" customWidth="1"/>
    <col min="15734" max="15735" width="9.28515625" bestFit="1" customWidth="1"/>
    <col min="15737" max="15737" width="10.28515625" bestFit="1" customWidth="1"/>
    <col min="15738" max="15739" width="9.28515625" bestFit="1" customWidth="1"/>
    <col min="15741" max="15741" width="10.28515625" bestFit="1" customWidth="1"/>
    <col min="15742" max="15743" width="9.28515625" bestFit="1" customWidth="1"/>
    <col min="15745" max="15745" width="10.28515625" bestFit="1" customWidth="1"/>
    <col min="15746" max="15747" width="9.28515625" bestFit="1" customWidth="1"/>
    <col min="15749" max="15749" width="10.28515625" bestFit="1" customWidth="1"/>
    <col min="15750" max="15751" width="9.28515625" bestFit="1" customWidth="1"/>
    <col min="15753" max="15753" width="10.28515625" bestFit="1" customWidth="1"/>
    <col min="15754" max="15755" width="9.28515625" bestFit="1" customWidth="1"/>
    <col min="15757" max="15757" width="10.28515625" bestFit="1" customWidth="1"/>
    <col min="15758" max="15759" width="9.28515625" bestFit="1" customWidth="1"/>
    <col min="15761" max="15761" width="10.28515625" bestFit="1" customWidth="1"/>
    <col min="15762" max="15763" width="9.28515625" bestFit="1" customWidth="1"/>
    <col min="15765" max="15765" width="10.28515625" bestFit="1" customWidth="1"/>
    <col min="15766" max="15767" width="9.28515625" bestFit="1" customWidth="1"/>
    <col min="15769" max="15769" width="10.28515625" bestFit="1" customWidth="1"/>
    <col min="15770" max="15771" width="9.28515625" bestFit="1" customWidth="1"/>
    <col min="15773" max="15773" width="10.28515625" bestFit="1" customWidth="1"/>
    <col min="15774" max="15775" width="9.28515625" bestFit="1" customWidth="1"/>
    <col min="15777" max="15777" width="10.28515625" bestFit="1" customWidth="1"/>
    <col min="15778" max="15779" width="9.28515625" bestFit="1" customWidth="1"/>
    <col min="15781" max="15781" width="10.28515625" bestFit="1" customWidth="1"/>
    <col min="15782" max="15783" width="9.28515625" bestFit="1" customWidth="1"/>
    <col min="15785" max="15785" width="10.28515625" bestFit="1" customWidth="1"/>
    <col min="15786" max="15787" width="9.28515625" bestFit="1" customWidth="1"/>
    <col min="15789" max="15789" width="10.28515625" bestFit="1" customWidth="1"/>
    <col min="15790" max="15791" width="9.28515625" bestFit="1" customWidth="1"/>
    <col min="15793" max="15793" width="10.28515625" bestFit="1" customWidth="1"/>
    <col min="15794" max="15795" width="9.28515625" bestFit="1" customWidth="1"/>
    <col min="15797" max="15797" width="10.28515625" bestFit="1" customWidth="1"/>
    <col min="15798" max="15799" width="9.28515625" bestFit="1" customWidth="1"/>
    <col min="15801" max="15801" width="10.28515625" bestFit="1" customWidth="1"/>
    <col min="15802" max="15803" width="9.28515625" bestFit="1" customWidth="1"/>
    <col min="15805" max="15805" width="10.28515625" bestFit="1" customWidth="1"/>
    <col min="15806" max="15807" width="9.28515625" bestFit="1" customWidth="1"/>
    <col min="15809" max="15809" width="10.28515625" bestFit="1" customWidth="1"/>
    <col min="15810" max="15811" width="9.28515625" bestFit="1" customWidth="1"/>
    <col min="15813" max="15813" width="10.28515625" bestFit="1" customWidth="1"/>
    <col min="15814" max="15815" width="9.28515625" bestFit="1" customWidth="1"/>
    <col min="15817" max="15817" width="10.28515625" bestFit="1" customWidth="1"/>
    <col min="15818" max="15819" width="9.28515625" bestFit="1" customWidth="1"/>
    <col min="15821" max="15821" width="10.28515625" bestFit="1" customWidth="1"/>
    <col min="15822" max="15823" width="9.28515625" bestFit="1" customWidth="1"/>
    <col min="15825" max="15825" width="10.28515625" bestFit="1" customWidth="1"/>
    <col min="15826" max="15827" width="9.28515625" bestFit="1" customWidth="1"/>
    <col min="15829" max="15829" width="10.28515625" bestFit="1" customWidth="1"/>
    <col min="15830" max="15831" width="9.28515625" bestFit="1" customWidth="1"/>
    <col min="15833" max="15833" width="10.28515625" bestFit="1" customWidth="1"/>
    <col min="15834" max="15835" width="9.28515625" bestFit="1" customWidth="1"/>
    <col min="15837" max="15837" width="10.28515625" bestFit="1" customWidth="1"/>
    <col min="15838" max="15839" width="9.28515625" bestFit="1" customWidth="1"/>
    <col min="15841" max="15841" width="10.28515625" bestFit="1" customWidth="1"/>
    <col min="15842" max="15843" width="9.28515625" bestFit="1" customWidth="1"/>
    <col min="15845" max="15845" width="10.28515625" bestFit="1" customWidth="1"/>
    <col min="15846" max="15847" width="9.28515625" bestFit="1" customWidth="1"/>
    <col min="15849" max="15849" width="10.28515625" bestFit="1" customWidth="1"/>
    <col min="15850" max="15851" width="9.28515625" bestFit="1" customWidth="1"/>
    <col min="15853" max="15853" width="10.28515625" bestFit="1" customWidth="1"/>
    <col min="15854" max="15855" width="9.28515625" bestFit="1" customWidth="1"/>
    <col min="15857" max="15857" width="10.28515625" bestFit="1" customWidth="1"/>
    <col min="15858" max="15859" width="9.28515625" bestFit="1" customWidth="1"/>
    <col min="15861" max="15861" width="10.28515625" bestFit="1" customWidth="1"/>
    <col min="15862" max="15863" width="9.28515625" bestFit="1" customWidth="1"/>
    <col min="15865" max="15865" width="10.28515625" bestFit="1" customWidth="1"/>
    <col min="15866" max="15867" width="9.28515625" bestFit="1" customWidth="1"/>
    <col min="15869" max="15869" width="10.28515625" bestFit="1" customWidth="1"/>
    <col min="15870" max="15871" width="9.28515625" bestFit="1" customWidth="1"/>
    <col min="15873" max="15873" width="10.28515625" bestFit="1" customWidth="1"/>
    <col min="15874" max="15875" width="9.28515625" bestFit="1" customWidth="1"/>
    <col min="15877" max="15877" width="10.28515625" bestFit="1" customWidth="1"/>
    <col min="15878" max="15879" width="9.28515625" bestFit="1" customWidth="1"/>
    <col min="15881" max="15881" width="10.28515625" bestFit="1" customWidth="1"/>
    <col min="15882" max="15883" width="9.28515625" bestFit="1" customWidth="1"/>
    <col min="15885" max="15885" width="10.28515625" bestFit="1" customWidth="1"/>
    <col min="15886" max="15887" width="9.28515625" bestFit="1" customWidth="1"/>
    <col min="15889" max="15889" width="10.28515625" bestFit="1" customWidth="1"/>
    <col min="15890" max="15891" width="9.28515625" bestFit="1" customWidth="1"/>
    <col min="15893" max="15893" width="10.28515625" bestFit="1" customWidth="1"/>
    <col min="15894" max="15895" width="9.28515625" bestFit="1" customWidth="1"/>
    <col min="15897" max="15897" width="10.28515625" bestFit="1" customWidth="1"/>
    <col min="15898" max="15899" width="9.28515625" bestFit="1" customWidth="1"/>
    <col min="15901" max="15901" width="10.28515625" bestFit="1" customWidth="1"/>
    <col min="15902" max="15903" width="9.28515625" bestFit="1" customWidth="1"/>
    <col min="15905" max="15905" width="10.28515625" bestFit="1" customWidth="1"/>
    <col min="15906" max="15907" width="9.28515625" bestFit="1" customWidth="1"/>
    <col min="15909" max="15909" width="10.28515625" bestFit="1" customWidth="1"/>
    <col min="15910" max="15911" width="9.28515625" bestFit="1" customWidth="1"/>
    <col min="15913" max="15913" width="10.28515625" bestFit="1" customWidth="1"/>
    <col min="15914" max="15915" width="9.28515625" bestFit="1" customWidth="1"/>
    <col min="15917" max="15917" width="10.28515625" bestFit="1" customWidth="1"/>
    <col min="15918" max="15919" width="9.28515625" bestFit="1" customWidth="1"/>
    <col min="15921" max="15921" width="10.28515625" bestFit="1" customWidth="1"/>
    <col min="15922" max="15923" width="9.28515625" bestFit="1" customWidth="1"/>
    <col min="15925" max="15925" width="10.28515625" bestFit="1" customWidth="1"/>
    <col min="15926" max="15927" width="9.28515625" bestFit="1" customWidth="1"/>
    <col min="15929" max="15929" width="10.28515625" bestFit="1" customWidth="1"/>
    <col min="15930" max="15931" width="9.28515625" bestFit="1" customWidth="1"/>
    <col min="15933" max="15933" width="10.28515625" bestFit="1" customWidth="1"/>
    <col min="15934" max="15935" width="9.28515625" bestFit="1" customWidth="1"/>
    <col min="15937" max="15937" width="10.28515625" bestFit="1" customWidth="1"/>
    <col min="15938" max="15939" width="9.28515625" bestFit="1" customWidth="1"/>
    <col min="15941" max="15941" width="10.28515625" bestFit="1" customWidth="1"/>
    <col min="15942" max="15943" width="9.28515625" bestFit="1" customWidth="1"/>
    <col min="15945" max="15945" width="10.28515625" bestFit="1" customWidth="1"/>
    <col min="15946" max="15947" width="9.28515625" bestFit="1" customWidth="1"/>
    <col min="15949" max="15949" width="10.28515625" bestFit="1" customWidth="1"/>
    <col min="15950" max="15951" width="9.28515625" bestFit="1" customWidth="1"/>
    <col min="15953" max="15953" width="10.28515625" bestFit="1" customWidth="1"/>
    <col min="15954" max="15955" width="9.28515625" bestFit="1" customWidth="1"/>
    <col min="15957" max="15957" width="10.28515625" bestFit="1" customWidth="1"/>
    <col min="15958" max="15959" width="9.28515625" bestFit="1" customWidth="1"/>
    <col min="15961" max="15961" width="10.28515625" bestFit="1" customWidth="1"/>
    <col min="15962" max="15963" width="9.28515625" bestFit="1" customWidth="1"/>
    <col min="15965" max="15965" width="10.28515625" bestFit="1" customWidth="1"/>
    <col min="15966" max="15967" width="9.28515625" bestFit="1" customWidth="1"/>
    <col min="15969" max="15969" width="10.28515625" bestFit="1" customWidth="1"/>
    <col min="15970" max="15971" width="9.28515625" bestFit="1" customWidth="1"/>
    <col min="15973" max="15973" width="10.28515625" bestFit="1" customWidth="1"/>
    <col min="15974" max="15975" width="9.28515625" bestFit="1" customWidth="1"/>
    <col min="15977" max="15977" width="10.28515625" bestFit="1" customWidth="1"/>
    <col min="15978" max="15979" width="9.28515625" bestFit="1" customWidth="1"/>
    <col min="15981" max="15981" width="10.28515625" bestFit="1" customWidth="1"/>
    <col min="15982" max="15983" width="9.28515625" bestFit="1" customWidth="1"/>
    <col min="15985" max="15985" width="10.28515625" bestFit="1" customWidth="1"/>
    <col min="15986" max="15987" width="9.28515625" bestFit="1" customWidth="1"/>
    <col min="15989" max="15989" width="10.28515625" bestFit="1" customWidth="1"/>
    <col min="15990" max="15991" width="9.28515625" bestFit="1" customWidth="1"/>
    <col min="15993" max="15993" width="10.28515625" bestFit="1" customWidth="1"/>
    <col min="15994" max="15995" width="9.28515625" bestFit="1" customWidth="1"/>
    <col min="15997" max="15997" width="10.28515625" bestFit="1" customWidth="1"/>
    <col min="15998" max="15999" width="9.28515625" bestFit="1" customWidth="1"/>
    <col min="16001" max="16001" width="10.28515625" bestFit="1" customWidth="1"/>
    <col min="16002" max="16003" width="9.28515625" bestFit="1" customWidth="1"/>
    <col min="16005" max="16005" width="10.28515625" bestFit="1" customWidth="1"/>
    <col min="16006" max="16007" width="9.28515625" bestFit="1" customWidth="1"/>
    <col min="16009" max="16009" width="10.28515625" bestFit="1" customWidth="1"/>
    <col min="16010" max="16011" width="9.28515625" bestFit="1" customWidth="1"/>
    <col min="16013" max="16013" width="10.28515625" bestFit="1" customWidth="1"/>
    <col min="16014" max="16015" width="9.28515625" bestFit="1" customWidth="1"/>
    <col min="16017" max="16017" width="10.28515625" bestFit="1" customWidth="1"/>
    <col min="16018" max="16019" width="9.28515625" bestFit="1" customWidth="1"/>
    <col min="16021" max="16021" width="10.28515625" bestFit="1" customWidth="1"/>
    <col min="16022" max="16023" width="9.28515625" bestFit="1" customWidth="1"/>
    <col min="16025" max="16025" width="10.28515625" bestFit="1" customWidth="1"/>
    <col min="16026" max="16027" width="9.28515625" bestFit="1" customWidth="1"/>
    <col min="16029" max="16029" width="10.28515625" bestFit="1" customWidth="1"/>
    <col min="16030" max="16031" width="9.28515625" bestFit="1" customWidth="1"/>
    <col min="16033" max="16033" width="10.28515625" bestFit="1" customWidth="1"/>
    <col min="16034" max="16035" width="9.28515625" bestFit="1" customWidth="1"/>
    <col min="16037" max="16037" width="10.28515625" bestFit="1" customWidth="1"/>
    <col min="16038" max="16039" width="9.28515625" bestFit="1" customWidth="1"/>
    <col min="16041" max="16041" width="10.28515625" bestFit="1" customWidth="1"/>
    <col min="16042" max="16043" width="9.28515625" bestFit="1" customWidth="1"/>
    <col min="16045" max="16045" width="10.28515625" bestFit="1" customWidth="1"/>
    <col min="16046" max="16047" width="9.28515625" bestFit="1" customWidth="1"/>
    <col min="16049" max="16049" width="10.28515625" bestFit="1" customWidth="1"/>
    <col min="16050" max="16051" width="9.28515625" bestFit="1" customWidth="1"/>
    <col min="16053" max="16053" width="10.28515625" bestFit="1" customWidth="1"/>
    <col min="16054" max="16055" width="9.28515625" bestFit="1" customWidth="1"/>
    <col min="16057" max="16057" width="10.28515625" bestFit="1" customWidth="1"/>
    <col min="16058" max="16059" width="9.28515625" bestFit="1" customWidth="1"/>
    <col min="16061" max="16061" width="10.28515625" bestFit="1" customWidth="1"/>
    <col min="16062" max="16063" width="9.28515625" bestFit="1" customWidth="1"/>
    <col min="16065" max="16065" width="10.28515625" bestFit="1" customWidth="1"/>
    <col min="16066" max="16067" width="9.28515625" bestFit="1" customWidth="1"/>
    <col min="16069" max="16069" width="10.28515625" bestFit="1" customWidth="1"/>
    <col min="16070" max="16071" width="9.28515625" bestFit="1" customWidth="1"/>
    <col min="16073" max="16073" width="10.28515625" bestFit="1" customWidth="1"/>
    <col min="16074" max="16075" width="9.28515625" bestFit="1" customWidth="1"/>
    <col min="16077" max="16077" width="10.28515625" bestFit="1" customWidth="1"/>
    <col min="16078" max="16079" width="9.28515625" bestFit="1" customWidth="1"/>
    <col min="16081" max="16081" width="10.28515625" bestFit="1" customWidth="1"/>
    <col min="16082" max="16083" width="9.28515625" bestFit="1" customWidth="1"/>
    <col min="16085" max="16085" width="10.28515625" bestFit="1" customWidth="1"/>
    <col min="16086" max="16087" width="9.28515625" bestFit="1" customWidth="1"/>
    <col min="16089" max="16089" width="10.28515625" bestFit="1" customWidth="1"/>
    <col min="16090" max="16091" width="9.28515625" bestFit="1" customWidth="1"/>
    <col min="16093" max="16093" width="10.28515625" bestFit="1" customWidth="1"/>
    <col min="16094" max="16095" width="9.28515625" bestFit="1" customWidth="1"/>
    <col min="16097" max="16097" width="10.28515625" bestFit="1" customWidth="1"/>
    <col min="16098" max="16099" width="9.28515625" bestFit="1" customWidth="1"/>
    <col min="16101" max="16101" width="10.28515625" bestFit="1" customWidth="1"/>
    <col min="16102" max="16103" width="9.28515625" bestFit="1" customWidth="1"/>
    <col min="16105" max="16105" width="10.28515625" bestFit="1" customWidth="1"/>
    <col min="16106" max="16107" width="9.28515625" bestFit="1" customWidth="1"/>
    <col min="16109" max="16109" width="10.28515625" bestFit="1" customWidth="1"/>
    <col min="16110" max="16111" width="9.28515625" bestFit="1" customWidth="1"/>
    <col min="16113" max="16113" width="10.28515625" bestFit="1" customWidth="1"/>
    <col min="16114" max="16115" width="9.28515625" bestFit="1" customWidth="1"/>
    <col min="16117" max="16117" width="10.28515625" bestFit="1" customWidth="1"/>
    <col min="16118" max="16119" width="9.28515625" bestFit="1" customWidth="1"/>
    <col min="16121" max="16121" width="10.28515625" bestFit="1" customWidth="1"/>
    <col min="16122" max="16123" width="9.28515625" bestFit="1" customWidth="1"/>
    <col min="16125" max="16125" width="10.28515625" bestFit="1" customWidth="1"/>
    <col min="16126" max="16127" width="9.28515625" bestFit="1" customWidth="1"/>
    <col min="16129" max="16129" width="10.28515625" bestFit="1" customWidth="1"/>
    <col min="16130" max="16131" width="9.28515625" bestFit="1" customWidth="1"/>
    <col min="16133" max="16133" width="10.28515625" bestFit="1" customWidth="1"/>
    <col min="16134" max="16135" width="9.28515625" bestFit="1" customWidth="1"/>
    <col min="16137" max="16137" width="10.28515625" bestFit="1" customWidth="1"/>
    <col min="16138" max="16139" width="9.28515625" bestFit="1" customWidth="1"/>
    <col min="16141" max="16141" width="10.28515625" bestFit="1" customWidth="1"/>
    <col min="16142" max="16143" width="9.28515625" bestFit="1" customWidth="1"/>
    <col min="16145" max="16145" width="10.28515625" bestFit="1" customWidth="1"/>
    <col min="16146" max="16147" width="9.28515625" bestFit="1" customWidth="1"/>
    <col min="16149" max="16149" width="10.28515625" bestFit="1" customWidth="1"/>
    <col min="16150" max="16151" width="9.28515625" bestFit="1" customWidth="1"/>
    <col min="16153" max="16153" width="10.28515625" bestFit="1" customWidth="1"/>
    <col min="16154" max="16155" width="9.28515625" bestFit="1" customWidth="1"/>
    <col min="16157" max="16157" width="10.28515625" bestFit="1" customWidth="1"/>
    <col min="16158" max="16159" width="9.28515625" bestFit="1" customWidth="1"/>
    <col min="16161" max="16161" width="10.28515625" bestFit="1" customWidth="1"/>
    <col min="16162" max="16163" width="9.28515625" bestFit="1" customWidth="1"/>
    <col min="16165" max="16165" width="10.28515625" bestFit="1" customWidth="1"/>
    <col min="16166" max="16167" width="9.28515625" bestFit="1" customWidth="1"/>
    <col min="16169" max="16169" width="10.28515625" bestFit="1" customWidth="1"/>
    <col min="16170" max="16171" width="9.28515625" bestFit="1" customWidth="1"/>
    <col min="16173" max="16173" width="10.28515625" bestFit="1" customWidth="1"/>
    <col min="16174" max="16175" width="9.28515625" bestFit="1" customWidth="1"/>
    <col min="16177" max="16177" width="10.28515625" bestFit="1" customWidth="1"/>
    <col min="16178" max="16179" width="9.28515625" bestFit="1" customWidth="1"/>
    <col min="16181" max="16181" width="10.28515625" bestFit="1" customWidth="1"/>
    <col min="16182" max="16183" width="9.28515625" bestFit="1" customWidth="1"/>
    <col min="16185" max="16185" width="10.28515625" bestFit="1" customWidth="1"/>
    <col min="16186" max="16187" width="9.28515625" bestFit="1" customWidth="1"/>
    <col min="16189" max="16189" width="10.28515625" bestFit="1" customWidth="1"/>
    <col min="16190" max="16191" width="9.28515625" bestFit="1" customWidth="1"/>
    <col min="16193" max="16193" width="10.28515625" bestFit="1" customWidth="1"/>
    <col min="16194" max="16195" width="9.28515625" bestFit="1" customWidth="1"/>
    <col min="16197" max="16197" width="10.28515625" bestFit="1" customWidth="1"/>
    <col min="16198" max="16199" width="9.28515625" bestFit="1" customWidth="1"/>
    <col min="16201" max="16201" width="10.28515625" bestFit="1" customWidth="1"/>
    <col min="16202" max="16203" width="9.28515625" bestFit="1" customWidth="1"/>
    <col min="16205" max="16205" width="10.28515625" bestFit="1" customWidth="1"/>
    <col min="16206" max="16207" width="9.28515625" bestFit="1" customWidth="1"/>
    <col min="16209" max="16209" width="10.28515625" bestFit="1" customWidth="1"/>
    <col min="16210" max="16211" width="9.28515625" bestFit="1" customWidth="1"/>
    <col min="16213" max="16213" width="10.28515625" bestFit="1" customWidth="1"/>
    <col min="16214" max="16215" width="9.28515625" bestFit="1" customWidth="1"/>
    <col min="16217" max="16217" width="10.28515625" bestFit="1" customWidth="1"/>
    <col min="16218" max="16219" width="9.28515625" bestFit="1" customWidth="1"/>
    <col min="16221" max="16221" width="10.28515625" bestFit="1" customWidth="1"/>
    <col min="16222" max="16223" width="9.28515625" bestFit="1" customWidth="1"/>
    <col min="16225" max="16225" width="10.28515625" bestFit="1" customWidth="1"/>
    <col min="16226" max="16227" width="9.28515625" bestFit="1" customWidth="1"/>
    <col min="16229" max="16229" width="10.28515625" bestFit="1" customWidth="1"/>
    <col min="16230" max="16231" width="9.28515625" bestFit="1" customWidth="1"/>
    <col min="16233" max="16233" width="10.28515625" bestFit="1" customWidth="1"/>
    <col min="16234" max="16235" width="9.28515625" bestFit="1" customWidth="1"/>
    <col min="16237" max="16237" width="10.28515625" bestFit="1" customWidth="1"/>
    <col min="16238" max="16239" width="9.28515625" bestFit="1" customWidth="1"/>
    <col min="16241" max="16241" width="10.28515625" bestFit="1" customWidth="1"/>
    <col min="16242" max="16243" width="9.28515625" bestFit="1" customWidth="1"/>
    <col min="16245" max="16245" width="10.28515625" bestFit="1" customWidth="1"/>
    <col min="16246" max="16247" width="9.28515625" bestFit="1" customWidth="1"/>
    <col min="16249" max="16249" width="10.28515625" bestFit="1" customWidth="1"/>
    <col min="16250" max="16251" width="9.28515625" bestFit="1" customWidth="1"/>
    <col min="16253" max="16253" width="10.28515625" bestFit="1" customWidth="1"/>
    <col min="16254" max="16255" width="9.28515625" bestFit="1" customWidth="1"/>
    <col min="16257" max="16257" width="10.28515625" bestFit="1" customWidth="1"/>
    <col min="16258" max="16259" width="9.28515625" bestFit="1" customWidth="1"/>
    <col min="16261" max="16261" width="10.28515625" bestFit="1" customWidth="1"/>
    <col min="16262" max="16263" width="9.28515625" bestFit="1" customWidth="1"/>
    <col min="16265" max="16265" width="10.28515625" bestFit="1" customWidth="1"/>
    <col min="16266" max="16267" width="9.28515625" bestFit="1" customWidth="1"/>
    <col min="16269" max="16269" width="10.28515625" bestFit="1" customWidth="1"/>
    <col min="16270" max="16271" width="9.28515625" bestFit="1" customWidth="1"/>
    <col min="16273" max="16273" width="10.28515625" bestFit="1" customWidth="1"/>
    <col min="16274" max="16275" width="9.28515625" bestFit="1" customWidth="1"/>
    <col min="16277" max="16277" width="10.28515625" bestFit="1" customWidth="1"/>
    <col min="16278" max="16279" width="9.28515625" bestFit="1" customWidth="1"/>
    <col min="16281" max="16281" width="10.28515625" bestFit="1" customWidth="1"/>
    <col min="16282" max="16283" width="9.28515625" bestFit="1" customWidth="1"/>
    <col min="16285" max="16285" width="10.28515625" bestFit="1" customWidth="1"/>
    <col min="16286" max="16287" width="9.28515625" bestFit="1" customWidth="1"/>
    <col min="16289" max="16289" width="10.28515625" bestFit="1" customWidth="1"/>
    <col min="16290" max="16291" width="9.28515625" bestFit="1" customWidth="1"/>
    <col min="16293" max="16293" width="10.28515625" bestFit="1" customWidth="1"/>
    <col min="16294" max="16295" width="9.28515625" bestFit="1" customWidth="1"/>
    <col min="16297" max="16297" width="10.28515625" bestFit="1" customWidth="1"/>
    <col min="16298" max="16299" width="9.28515625" bestFit="1" customWidth="1"/>
    <col min="16301" max="16301" width="10.28515625" bestFit="1" customWidth="1"/>
    <col min="16302" max="16303" width="9.28515625" bestFit="1" customWidth="1"/>
    <col min="16305" max="16305" width="10.28515625" bestFit="1" customWidth="1"/>
    <col min="16306" max="16307" width="9.28515625" bestFit="1" customWidth="1"/>
    <col min="16309" max="16309" width="10.28515625" bestFit="1" customWidth="1"/>
    <col min="16310" max="16311" width="9.28515625" bestFit="1" customWidth="1"/>
    <col min="16313" max="16313" width="10.28515625" bestFit="1" customWidth="1"/>
    <col min="16314" max="16315" width="9.28515625" bestFit="1" customWidth="1"/>
    <col min="16317" max="16317" width="10.28515625" bestFit="1" customWidth="1"/>
    <col min="16318" max="16319" width="9.28515625" bestFit="1" customWidth="1"/>
    <col min="16321" max="16321" width="10.28515625" bestFit="1" customWidth="1"/>
    <col min="16322" max="16323" width="9.28515625" bestFit="1" customWidth="1"/>
    <col min="16325" max="16325" width="10.28515625" bestFit="1" customWidth="1"/>
    <col min="16326" max="16327" width="9.28515625" bestFit="1" customWidth="1"/>
    <col min="16329" max="16329" width="10.28515625" bestFit="1" customWidth="1"/>
    <col min="16330" max="16331" width="9.28515625" bestFit="1" customWidth="1"/>
    <col min="16333" max="16333" width="10.28515625" bestFit="1" customWidth="1"/>
    <col min="16334" max="16335" width="9.28515625" bestFit="1" customWidth="1"/>
    <col min="16337" max="16337" width="10.28515625" bestFit="1" customWidth="1"/>
    <col min="16338" max="16339" width="9.28515625" bestFit="1" customWidth="1"/>
    <col min="16341" max="16341" width="10.28515625" bestFit="1" customWidth="1"/>
    <col min="16342" max="16343" width="9.28515625" bestFit="1" customWidth="1"/>
    <col min="16345" max="16345" width="10.28515625" bestFit="1" customWidth="1"/>
    <col min="16346" max="16347" width="9.28515625" bestFit="1" customWidth="1"/>
    <col min="16349" max="16349" width="10.28515625" bestFit="1" customWidth="1"/>
    <col min="16350" max="16351" width="9.28515625" bestFit="1" customWidth="1"/>
    <col min="16353" max="16353" width="10.28515625" bestFit="1" customWidth="1"/>
    <col min="16354" max="16355" width="9.28515625" bestFit="1" customWidth="1"/>
    <col min="16357" max="16357" width="10.28515625" bestFit="1" customWidth="1"/>
    <col min="16358" max="16359" width="9.28515625" bestFit="1" customWidth="1"/>
    <col min="16361" max="16361" width="10.28515625" bestFit="1" customWidth="1"/>
    <col min="16362" max="16363" width="9.28515625" bestFit="1" customWidth="1"/>
    <col min="16365" max="16365" width="10.28515625" bestFit="1" customWidth="1"/>
    <col min="16366" max="16367" width="9.28515625" bestFit="1" customWidth="1"/>
    <col min="16369" max="16369" width="10.28515625" bestFit="1" customWidth="1"/>
    <col min="16370" max="16371" width="9.28515625" bestFit="1" customWidth="1"/>
  </cols>
  <sheetData>
    <row r="1" spans="1:13" x14ac:dyDescent="0.25">
      <c r="M1" s="1110" t="s">
        <v>37</v>
      </c>
    </row>
    <row r="2" spans="1:13" ht="18.75" x14ac:dyDescent="0.25">
      <c r="A2" s="728" t="s">
        <v>1899</v>
      </c>
      <c r="B2" s="728"/>
      <c r="C2" s="728"/>
      <c r="D2" s="728"/>
      <c r="E2" s="728"/>
      <c r="F2" s="728"/>
      <c r="G2" s="728"/>
      <c r="H2" s="728"/>
      <c r="I2" s="728"/>
      <c r="J2" s="728"/>
      <c r="K2" s="728"/>
      <c r="L2" s="728"/>
      <c r="M2" s="728"/>
    </row>
    <row r="3" spans="1:13" ht="18.75" x14ac:dyDescent="0.25">
      <c r="A3" s="186"/>
      <c r="B3" s="187"/>
      <c r="C3" s="364"/>
      <c r="D3" s="187"/>
      <c r="E3" s="187"/>
      <c r="F3" s="364"/>
      <c r="G3" s="364"/>
      <c r="H3" s="364"/>
      <c r="I3" s="364"/>
      <c r="J3" s="364"/>
      <c r="K3" s="364"/>
      <c r="L3" s="364"/>
      <c r="M3" s="364"/>
    </row>
    <row r="4" spans="1:13" ht="30.75" customHeight="1" x14ac:dyDescent="0.25">
      <c r="A4" s="729" t="s">
        <v>0</v>
      </c>
      <c r="B4" s="729" t="s">
        <v>1</v>
      </c>
      <c r="C4" s="729" t="s">
        <v>695</v>
      </c>
      <c r="D4" s="729"/>
      <c r="E4" s="729"/>
      <c r="F4" s="730" t="s">
        <v>36</v>
      </c>
      <c r="G4" s="731" t="s">
        <v>187</v>
      </c>
      <c r="H4" s="732"/>
      <c r="I4" s="732"/>
      <c r="J4" s="732"/>
      <c r="K4" s="733"/>
      <c r="L4" s="729" t="s">
        <v>2</v>
      </c>
      <c r="M4" s="734" t="s">
        <v>33</v>
      </c>
    </row>
    <row r="5" spans="1:13" ht="65.25" customHeight="1" x14ac:dyDescent="0.25">
      <c r="A5" s="729"/>
      <c r="B5" s="729"/>
      <c r="C5" s="365" t="s">
        <v>32</v>
      </c>
      <c r="D5" s="188" t="s">
        <v>1391</v>
      </c>
      <c r="E5" s="188" t="s">
        <v>35</v>
      </c>
      <c r="F5" s="730"/>
      <c r="G5" s="365" t="s">
        <v>3</v>
      </c>
      <c r="H5" s="365" t="s">
        <v>39</v>
      </c>
      <c r="I5" s="365" t="s">
        <v>52</v>
      </c>
      <c r="J5" s="365" t="s">
        <v>40</v>
      </c>
      <c r="K5" s="365" t="s">
        <v>188</v>
      </c>
      <c r="L5" s="729"/>
      <c r="M5" s="735"/>
    </row>
    <row r="6" spans="1:13" ht="19.5" customHeight="1" x14ac:dyDescent="0.25">
      <c r="A6" s="706"/>
      <c r="B6" s="642" t="s">
        <v>189</v>
      </c>
      <c r="C6" s="189" t="s">
        <v>3</v>
      </c>
      <c r="D6" s="190">
        <f>SUM(D7:D10)</f>
        <v>156303483.05269068</v>
      </c>
      <c r="E6" s="190">
        <f>SUM(E7:E10)</f>
        <v>147211121.58436999</v>
      </c>
      <c r="F6" s="191">
        <f t="shared" ref="F6:F24" si="0">E6/D6</f>
        <v>0.94182879811286346</v>
      </c>
      <c r="G6" s="746">
        <f>SUM(H6:J10)</f>
        <v>1050</v>
      </c>
      <c r="H6" s="749">
        <f>H11+H38+H56+H71+H88+H107+H120+H146+H151+H175+H198+H211+H231+H238+H247</f>
        <v>842</v>
      </c>
      <c r="I6" s="749">
        <f>I11+I38+I56+I71+I88+I107+I120+I146+I151+I175+I198+I211+I231+I238+I247</f>
        <v>157</v>
      </c>
      <c r="J6" s="749">
        <f>J11+J38+J56+J71+J88+J107+J120+J146+J151+J175+J198+J211+J231+J238+J247</f>
        <v>51</v>
      </c>
      <c r="K6" s="736">
        <f>(H6+0.5*I6)/G6</f>
        <v>0.87666666666666671</v>
      </c>
      <c r="L6" s="636"/>
      <c r="M6" s="636"/>
    </row>
    <row r="7" spans="1:13" ht="19.5" customHeight="1" x14ac:dyDescent="0.25">
      <c r="A7" s="707"/>
      <c r="B7" s="643"/>
      <c r="C7" s="192" t="s">
        <v>4</v>
      </c>
      <c r="D7" s="193">
        <f>D12+D39+D57+D72+D89+D108+D121+D146+D152+D176+D199+D212+D232+D239+D248</f>
        <v>114591253.85062295</v>
      </c>
      <c r="E7" s="193">
        <f>E12+E39+E57+E72+E89+E108+E121+E146+E152+E176+E199+E212+E232+E239+E248</f>
        <v>107330641.26896998</v>
      </c>
      <c r="F7" s="194">
        <f t="shared" si="0"/>
        <v>0.93663903362888723</v>
      </c>
      <c r="G7" s="747"/>
      <c r="H7" s="747"/>
      <c r="I7" s="747"/>
      <c r="J7" s="747"/>
      <c r="K7" s="737" t="e">
        <f t="shared" ref="K7:K13" si="1">(K4+0.5*K5)/K3</f>
        <v>#VALUE!</v>
      </c>
      <c r="L7" s="637"/>
      <c r="M7" s="637"/>
    </row>
    <row r="8" spans="1:13" ht="19.5" customHeight="1" x14ac:dyDescent="0.25">
      <c r="A8" s="707"/>
      <c r="B8" s="643"/>
      <c r="C8" s="192" t="s">
        <v>5</v>
      </c>
      <c r="D8" s="193">
        <f>D13+D40+D58+D73+D90+D109+D122+D153+D177+D200+D213+D233+D240+D249</f>
        <v>18105555.509119999</v>
      </c>
      <c r="E8" s="193">
        <f>E13+E40+E58+E73+E90+E109+E122+E153+E177+E200+E213+E233+E240+E249</f>
        <v>16871006.829190001</v>
      </c>
      <c r="F8" s="194">
        <f t="shared" si="0"/>
        <v>0.93181381928280849</v>
      </c>
      <c r="G8" s="747"/>
      <c r="H8" s="747"/>
      <c r="I8" s="747"/>
      <c r="J8" s="747"/>
      <c r="K8" s="737" t="e">
        <f t="shared" si="1"/>
        <v>#VALUE!</v>
      </c>
      <c r="L8" s="637"/>
      <c r="M8" s="637"/>
    </row>
    <row r="9" spans="1:13" ht="19.5" customHeight="1" x14ac:dyDescent="0.25">
      <c r="A9" s="707"/>
      <c r="B9" s="643"/>
      <c r="C9" s="192" t="s">
        <v>6</v>
      </c>
      <c r="D9" s="193">
        <f>D41+D74+D91+D123+D154+D178+D201+D214+D250</f>
        <v>2271355.2929477193</v>
      </c>
      <c r="E9" s="193">
        <f>E41+E74+E91+E123+E154+E178+E201+E214+E250</f>
        <v>1276904.3462100001</v>
      </c>
      <c r="F9" s="194">
        <f t="shared" si="0"/>
        <v>0.56217728251261789</v>
      </c>
      <c r="G9" s="747"/>
      <c r="H9" s="747"/>
      <c r="I9" s="747"/>
      <c r="J9" s="747"/>
      <c r="K9" s="737" t="e">
        <f t="shared" si="1"/>
        <v>#VALUE!</v>
      </c>
      <c r="L9" s="637"/>
      <c r="M9" s="637"/>
    </row>
    <row r="10" spans="1:13" ht="19.5" customHeight="1" x14ac:dyDescent="0.25">
      <c r="A10" s="745"/>
      <c r="B10" s="644"/>
      <c r="C10" s="192" t="s">
        <v>7</v>
      </c>
      <c r="D10" s="193">
        <f>D14+D59+D110+D124+D155+D179+D215</f>
        <v>21335318.400000002</v>
      </c>
      <c r="E10" s="193">
        <f>E14+E59+E110+E124+E155+E179+E215</f>
        <v>21732569.140000001</v>
      </c>
      <c r="F10" s="194">
        <f t="shared" si="0"/>
        <v>1.0186193959027112</v>
      </c>
      <c r="G10" s="748"/>
      <c r="H10" s="748"/>
      <c r="I10" s="748"/>
      <c r="J10" s="748"/>
      <c r="K10" s="738" t="e">
        <f t="shared" si="1"/>
        <v>#VALUE!</v>
      </c>
      <c r="L10" s="638"/>
      <c r="M10" s="638"/>
    </row>
    <row r="11" spans="1:13" ht="21" customHeight="1" x14ac:dyDescent="0.25">
      <c r="A11" s="720" t="s">
        <v>8</v>
      </c>
      <c r="B11" s="642" t="s">
        <v>990</v>
      </c>
      <c r="C11" s="189" t="s">
        <v>3</v>
      </c>
      <c r="D11" s="190">
        <f>SUM(D12:D14)</f>
        <v>41622286.399999999</v>
      </c>
      <c r="E11" s="190">
        <f>E12+E13+E14</f>
        <v>41127174.949960008</v>
      </c>
      <c r="F11" s="501">
        <f t="shared" si="0"/>
        <v>0.98810465515320678</v>
      </c>
      <c r="G11" s="721">
        <f>SUM(G15:G37)</f>
        <v>131</v>
      </c>
      <c r="H11" s="721">
        <f>SUM(H15:H37)</f>
        <v>107</v>
      </c>
      <c r="I11" s="721">
        <f>SUM(I15:I37)</f>
        <v>17</v>
      </c>
      <c r="J11" s="721">
        <f>SUM(J15:J37)</f>
        <v>7</v>
      </c>
      <c r="K11" s="708">
        <f>(H11+0.5*I11)/G11</f>
        <v>0.88167938931297707</v>
      </c>
      <c r="L11" s="750" t="s">
        <v>1720</v>
      </c>
      <c r="M11" s="639"/>
    </row>
    <row r="12" spans="1:13" ht="21" customHeight="1" x14ac:dyDescent="0.25">
      <c r="A12" s="720"/>
      <c r="B12" s="643"/>
      <c r="C12" s="192" t="s">
        <v>4</v>
      </c>
      <c r="D12" s="193">
        <f>D16+D20+D24+D27+D30+D33+D36</f>
        <v>19158413.399999999</v>
      </c>
      <c r="E12" s="193">
        <f>E16+E20+E24+E27+E30+E33+E36</f>
        <v>18534444.003770001</v>
      </c>
      <c r="F12" s="502">
        <f t="shared" si="0"/>
        <v>0.96743105061977641</v>
      </c>
      <c r="G12" s="722"/>
      <c r="H12" s="722"/>
      <c r="I12" s="722"/>
      <c r="J12" s="722"/>
      <c r="K12" s="709" t="e">
        <f t="shared" si="1"/>
        <v>#VALUE!</v>
      </c>
      <c r="L12" s="750"/>
      <c r="M12" s="640"/>
    </row>
    <row r="13" spans="1:13" ht="21" customHeight="1" x14ac:dyDescent="0.25">
      <c r="A13" s="720"/>
      <c r="B13" s="643"/>
      <c r="C13" s="192" t="s">
        <v>5</v>
      </c>
      <c r="D13" s="193">
        <f>D17+D21+D25+D28+D31+D34+D37</f>
        <v>1649090.3000000003</v>
      </c>
      <c r="E13" s="193">
        <f>E17+E21+E25+E28+E31+E34+E37</f>
        <v>1424564.8461900002</v>
      </c>
      <c r="F13" s="502">
        <f t="shared" si="0"/>
        <v>0.86384890274959469</v>
      </c>
      <c r="G13" s="722"/>
      <c r="H13" s="722"/>
      <c r="I13" s="722"/>
      <c r="J13" s="722"/>
      <c r="K13" s="709" t="e">
        <f t="shared" si="1"/>
        <v>#VALUE!</v>
      </c>
      <c r="L13" s="750"/>
      <c r="M13" s="640"/>
    </row>
    <row r="14" spans="1:13" ht="45.75" customHeight="1" x14ac:dyDescent="0.25">
      <c r="A14" s="720"/>
      <c r="B14" s="644"/>
      <c r="C14" s="192" t="s">
        <v>7</v>
      </c>
      <c r="D14" s="193">
        <f>D18+D22</f>
        <v>20814782.699999999</v>
      </c>
      <c r="E14" s="193">
        <f>E18+E22</f>
        <v>21168166.100000001</v>
      </c>
      <c r="F14" s="503">
        <f>E14/D14</f>
        <v>1.0169775205003702</v>
      </c>
      <c r="G14" s="723"/>
      <c r="H14" s="723"/>
      <c r="I14" s="723"/>
      <c r="J14" s="723"/>
      <c r="K14" s="724" t="e">
        <f>(K12+0.5*K13)/K11</f>
        <v>#VALUE!</v>
      </c>
      <c r="L14" s="750"/>
      <c r="M14" s="641"/>
    </row>
    <row r="15" spans="1:13" ht="35.25" customHeight="1" outlineLevel="1" x14ac:dyDescent="0.25">
      <c r="A15" s="751" t="s">
        <v>1058</v>
      </c>
      <c r="B15" s="702" t="s">
        <v>1162</v>
      </c>
      <c r="C15" s="229" t="s">
        <v>3</v>
      </c>
      <c r="D15" s="213">
        <f>SUM(D16:D18)</f>
        <v>10808431.4</v>
      </c>
      <c r="E15" s="213">
        <f>SUM(E16:E18)</f>
        <v>11070444.705490001</v>
      </c>
      <c r="F15" s="214">
        <f t="shared" si="0"/>
        <v>1.0242415662174624</v>
      </c>
      <c r="G15" s="718">
        <f>SUM(H15:J18)</f>
        <v>24</v>
      </c>
      <c r="H15" s="718">
        <v>19</v>
      </c>
      <c r="I15" s="718">
        <v>4</v>
      </c>
      <c r="J15" s="718">
        <v>1</v>
      </c>
      <c r="K15" s="700">
        <f>(H15+0.5*I15)/G15</f>
        <v>0.875</v>
      </c>
      <c r="L15" s="702" t="s">
        <v>1721</v>
      </c>
      <c r="M15" s="608" t="s">
        <v>1736</v>
      </c>
    </row>
    <row r="16" spans="1:13" ht="35.25" customHeight="1" outlineLevel="1" x14ac:dyDescent="0.25">
      <c r="A16" s="714"/>
      <c r="B16" s="703"/>
      <c r="C16" s="366" t="s">
        <v>4</v>
      </c>
      <c r="D16" s="238">
        <v>2553218.2000000002</v>
      </c>
      <c r="E16" s="239">
        <v>2535725.7949100002</v>
      </c>
      <c r="F16" s="214">
        <f t="shared" si="0"/>
        <v>0.99314887968055376</v>
      </c>
      <c r="G16" s="719"/>
      <c r="H16" s="719"/>
      <c r="I16" s="719"/>
      <c r="J16" s="719"/>
      <c r="K16" s="701" t="e">
        <f>(K13+0.5*K14)/K12</f>
        <v>#VALUE!</v>
      </c>
      <c r="L16" s="703"/>
      <c r="M16" s="609"/>
    </row>
    <row r="17" spans="1:13" ht="35.25" customHeight="1" outlineLevel="1" x14ac:dyDescent="0.25">
      <c r="A17" s="714"/>
      <c r="B17" s="703"/>
      <c r="C17" s="366" t="s">
        <v>5</v>
      </c>
      <c r="D17" s="238">
        <v>342253.5</v>
      </c>
      <c r="E17" s="239">
        <v>334954.81058000005</v>
      </c>
      <c r="F17" s="214">
        <f t="shared" si="0"/>
        <v>0.9786746098432888</v>
      </c>
      <c r="G17" s="719"/>
      <c r="H17" s="719"/>
      <c r="I17" s="719"/>
      <c r="J17" s="719"/>
      <c r="K17" s="701" t="e">
        <f>(K14+0.5*K15)/K13</f>
        <v>#VALUE!</v>
      </c>
      <c r="L17" s="703"/>
      <c r="M17" s="609"/>
    </row>
    <row r="18" spans="1:13" ht="33.75" customHeight="1" outlineLevel="1" x14ac:dyDescent="0.25">
      <c r="A18" s="725"/>
      <c r="B18" s="717"/>
      <c r="C18" s="366" t="s">
        <v>7</v>
      </c>
      <c r="D18" s="238">
        <v>7912959.7000000002</v>
      </c>
      <c r="E18" s="239">
        <v>8199764.1000000006</v>
      </c>
      <c r="F18" s="214">
        <f t="shared" si="0"/>
        <v>1.036244895825768</v>
      </c>
      <c r="G18" s="726"/>
      <c r="H18" s="726"/>
      <c r="I18" s="726"/>
      <c r="J18" s="726"/>
      <c r="K18" s="727" t="e">
        <f>(K16+0.5*K17)/K15</f>
        <v>#VALUE!</v>
      </c>
      <c r="L18" s="717"/>
      <c r="M18" s="615"/>
    </row>
    <row r="19" spans="1:13" ht="33.75" customHeight="1" outlineLevel="1" x14ac:dyDescent="0.25">
      <c r="A19" s="713" t="s">
        <v>1059</v>
      </c>
      <c r="B19" s="702" t="s">
        <v>1163</v>
      </c>
      <c r="C19" s="229" t="s">
        <v>3</v>
      </c>
      <c r="D19" s="213">
        <f>SUM(D20:D22)</f>
        <v>16233150.1</v>
      </c>
      <c r="E19" s="213">
        <f>SUM(E20:E22)</f>
        <v>16147429.90222</v>
      </c>
      <c r="F19" s="214">
        <f t="shared" si="0"/>
        <v>0.99471943539904806</v>
      </c>
      <c r="G19" s="718">
        <f>SUM(H19:J22)</f>
        <v>25</v>
      </c>
      <c r="H19" s="718">
        <v>24</v>
      </c>
      <c r="I19" s="718">
        <v>1</v>
      </c>
      <c r="J19" s="718">
        <v>0</v>
      </c>
      <c r="K19" s="700">
        <f>(H19+0.5*I19)/G19</f>
        <v>0.98</v>
      </c>
      <c r="L19" s="702" t="s">
        <v>1722</v>
      </c>
      <c r="M19" s="608" t="s">
        <v>1737</v>
      </c>
    </row>
    <row r="20" spans="1:13" ht="33.75" customHeight="1" outlineLevel="1" x14ac:dyDescent="0.25">
      <c r="A20" s="714"/>
      <c r="B20" s="703"/>
      <c r="C20" s="366" t="s">
        <v>4</v>
      </c>
      <c r="D20" s="213">
        <v>3181160.1999999997</v>
      </c>
      <c r="E20" s="213">
        <v>3040386.5000999998</v>
      </c>
      <c r="F20" s="214">
        <f t="shared" si="0"/>
        <v>0.95574768604863092</v>
      </c>
      <c r="G20" s="719"/>
      <c r="H20" s="719"/>
      <c r="I20" s="719"/>
      <c r="J20" s="719"/>
      <c r="K20" s="701" t="e">
        <f>(K17+0.5*K18)/K16</f>
        <v>#VALUE!</v>
      </c>
      <c r="L20" s="703"/>
      <c r="M20" s="609"/>
    </row>
    <row r="21" spans="1:13" ht="33.75" customHeight="1" outlineLevel="1" x14ac:dyDescent="0.25">
      <c r="A21" s="714"/>
      <c r="B21" s="703"/>
      <c r="C21" s="366" t="s">
        <v>5</v>
      </c>
      <c r="D21" s="213">
        <v>150166.9</v>
      </c>
      <c r="E21" s="213">
        <v>138641.40212000001</v>
      </c>
      <c r="F21" s="214">
        <f t="shared" si="0"/>
        <v>0.92324874602858564</v>
      </c>
      <c r="G21" s="719"/>
      <c r="H21" s="719"/>
      <c r="I21" s="719"/>
      <c r="J21" s="719"/>
      <c r="K21" s="701" t="e">
        <f>(K18+0.5*K19)/K17</f>
        <v>#VALUE!</v>
      </c>
      <c r="L21" s="703"/>
      <c r="M21" s="609"/>
    </row>
    <row r="22" spans="1:13" ht="45.75" customHeight="1" outlineLevel="1" x14ac:dyDescent="0.25">
      <c r="A22" s="725"/>
      <c r="B22" s="717"/>
      <c r="C22" s="366" t="s">
        <v>7</v>
      </c>
      <c r="D22" s="213">
        <v>12901823</v>
      </c>
      <c r="E22" s="213">
        <v>12968402</v>
      </c>
      <c r="F22" s="214">
        <f t="shared" si="0"/>
        <v>1.0051604335294322</v>
      </c>
      <c r="G22" s="726"/>
      <c r="H22" s="726"/>
      <c r="I22" s="726"/>
      <c r="J22" s="726"/>
      <c r="K22" s="727" t="e">
        <f>(K20+0.5*K21)/K19</f>
        <v>#VALUE!</v>
      </c>
      <c r="L22" s="717"/>
      <c r="M22" s="615"/>
    </row>
    <row r="23" spans="1:13" ht="45.75" customHeight="1" outlineLevel="1" x14ac:dyDescent="0.25">
      <c r="A23" s="713" t="s">
        <v>1060</v>
      </c>
      <c r="B23" s="702" t="s">
        <v>1164</v>
      </c>
      <c r="C23" s="229" t="s">
        <v>3</v>
      </c>
      <c r="D23" s="213">
        <f>SUM(D24:D25)</f>
        <v>421941.7</v>
      </c>
      <c r="E23" s="213">
        <f>SUM(E24:E25)</f>
        <v>408401.83298000001</v>
      </c>
      <c r="F23" s="214">
        <f t="shared" si="0"/>
        <v>0.96791057385416046</v>
      </c>
      <c r="G23" s="718">
        <f>SUM(H23:J25)</f>
        <v>3</v>
      </c>
      <c r="H23" s="718">
        <v>1</v>
      </c>
      <c r="I23" s="718">
        <v>2</v>
      </c>
      <c r="J23" s="718">
        <v>0</v>
      </c>
      <c r="K23" s="700">
        <f>(H23+0.5*I23)/G23</f>
        <v>0.66666666666666663</v>
      </c>
      <c r="L23" s="702" t="s">
        <v>1723</v>
      </c>
      <c r="M23" s="608" t="s">
        <v>1727</v>
      </c>
    </row>
    <row r="24" spans="1:13" ht="31.5" customHeight="1" outlineLevel="1" x14ac:dyDescent="0.25">
      <c r="A24" s="714"/>
      <c r="B24" s="703"/>
      <c r="C24" s="366" t="s">
        <v>4</v>
      </c>
      <c r="D24" s="213">
        <v>411647.2</v>
      </c>
      <c r="E24" s="213">
        <v>399861.10097999999</v>
      </c>
      <c r="F24" s="214">
        <f t="shared" si="0"/>
        <v>0.97136844603825789</v>
      </c>
      <c r="G24" s="719"/>
      <c r="H24" s="719"/>
      <c r="I24" s="719"/>
      <c r="J24" s="719"/>
      <c r="K24" s="701" t="e">
        <f>(K21+0.5*K22)/K20</f>
        <v>#VALUE!</v>
      </c>
      <c r="L24" s="703"/>
      <c r="M24" s="609"/>
    </row>
    <row r="25" spans="1:13" ht="31.5" customHeight="1" outlineLevel="1" x14ac:dyDescent="0.25">
      <c r="A25" s="714"/>
      <c r="B25" s="703"/>
      <c r="C25" s="366" t="s">
        <v>5</v>
      </c>
      <c r="D25" s="213">
        <v>10294.5</v>
      </c>
      <c r="E25" s="213">
        <v>8540.732</v>
      </c>
      <c r="F25" s="214">
        <v>0</v>
      </c>
      <c r="G25" s="719"/>
      <c r="H25" s="719"/>
      <c r="I25" s="719"/>
      <c r="J25" s="719"/>
      <c r="K25" s="701" t="e">
        <f>(K22+0.5*K23)/K21</f>
        <v>#VALUE!</v>
      </c>
      <c r="L25" s="703"/>
      <c r="M25" s="609"/>
    </row>
    <row r="26" spans="1:13" ht="40.5" customHeight="1" outlineLevel="1" x14ac:dyDescent="0.25">
      <c r="A26" s="713" t="s">
        <v>1061</v>
      </c>
      <c r="B26" s="702" t="s">
        <v>1165</v>
      </c>
      <c r="C26" s="229" t="s">
        <v>3</v>
      </c>
      <c r="D26" s="213">
        <f>SUM(D27:D28)</f>
        <v>2914847.3</v>
      </c>
      <c r="E26" s="213">
        <f>SUM(E27:E28)</f>
        <v>2318248.0968200001</v>
      </c>
      <c r="F26" s="214">
        <f>E26/D26</f>
        <v>0.79532402840450689</v>
      </c>
      <c r="G26" s="621">
        <f>SUM(H26:J28)</f>
        <v>25</v>
      </c>
      <c r="H26" s="621">
        <v>11</v>
      </c>
      <c r="I26" s="621">
        <v>9</v>
      </c>
      <c r="J26" s="621">
        <v>5</v>
      </c>
      <c r="K26" s="700">
        <f>(H26+0.5*I26)/G26</f>
        <v>0.62</v>
      </c>
      <c r="L26" s="702" t="s">
        <v>1735</v>
      </c>
      <c r="M26" s="608" t="s">
        <v>1738</v>
      </c>
    </row>
    <row r="27" spans="1:13" ht="30.75" customHeight="1" outlineLevel="1" x14ac:dyDescent="0.25">
      <c r="A27" s="714"/>
      <c r="B27" s="703"/>
      <c r="C27" s="366" t="s">
        <v>4</v>
      </c>
      <c r="D27" s="213">
        <v>1829912.6</v>
      </c>
      <c r="E27" s="213">
        <v>1431879.0003500001</v>
      </c>
      <c r="F27" s="214">
        <f t="shared" ref="F27:F28" si="2">E27/D27</f>
        <v>0.78248491231220552</v>
      </c>
      <c r="G27" s="622"/>
      <c r="H27" s="622"/>
      <c r="I27" s="622"/>
      <c r="J27" s="622"/>
      <c r="K27" s="701" t="e">
        <f>(K25+0.5*#REF!)/K24</f>
        <v>#VALUE!</v>
      </c>
      <c r="L27" s="703"/>
      <c r="M27" s="609"/>
    </row>
    <row r="28" spans="1:13" ht="30.75" customHeight="1" outlineLevel="1" x14ac:dyDescent="0.25">
      <c r="A28" s="714"/>
      <c r="B28" s="703"/>
      <c r="C28" s="366" t="s">
        <v>5</v>
      </c>
      <c r="D28" s="213">
        <v>1084934.7</v>
      </c>
      <c r="E28" s="213">
        <v>886369.09646999999</v>
      </c>
      <c r="F28" s="214">
        <f t="shared" si="2"/>
        <v>0.81697921217747027</v>
      </c>
      <c r="G28" s="622"/>
      <c r="H28" s="622"/>
      <c r="I28" s="622"/>
      <c r="J28" s="622"/>
      <c r="K28" s="701" t="e">
        <f>(#REF!+0.5*K26)/K25</f>
        <v>#REF!</v>
      </c>
      <c r="L28" s="703"/>
      <c r="M28" s="609"/>
    </row>
    <row r="29" spans="1:13" ht="27.75" customHeight="1" outlineLevel="1" x14ac:dyDescent="0.25">
      <c r="A29" s="713" t="s">
        <v>1062</v>
      </c>
      <c r="B29" s="702" t="s">
        <v>1166</v>
      </c>
      <c r="C29" s="229" t="s">
        <v>3</v>
      </c>
      <c r="D29" s="213">
        <f>SUM(D30:D31)</f>
        <v>762927.9</v>
      </c>
      <c r="E29" s="213">
        <f>SUM(E30:E31)</f>
        <v>749361.60337000003</v>
      </c>
      <c r="F29" s="214">
        <f>E29/D29</f>
        <v>0.98221811441159779</v>
      </c>
      <c r="G29" s="621">
        <f>SUM(H29:J31)</f>
        <v>21</v>
      </c>
      <c r="H29" s="621">
        <v>21</v>
      </c>
      <c r="I29" s="621">
        <v>0</v>
      </c>
      <c r="J29" s="621">
        <v>0</v>
      </c>
      <c r="K29" s="700">
        <f>(H29+0.5*I29)/G29</f>
        <v>1</v>
      </c>
      <c r="L29" s="715" t="s">
        <v>1724</v>
      </c>
      <c r="M29" s="611" t="s">
        <v>41</v>
      </c>
    </row>
    <row r="30" spans="1:13" ht="32.25" customHeight="1" outlineLevel="1" x14ac:dyDescent="0.25">
      <c r="A30" s="714"/>
      <c r="B30" s="703"/>
      <c r="C30" s="366" t="s">
        <v>4</v>
      </c>
      <c r="D30" s="213">
        <v>735237.9</v>
      </c>
      <c r="E30" s="213">
        <v>721671.60337000003</v>
      </c>
      <c r="F30" s="214">
        <f t="shared" ref="F30:F31" si="3">E30/D30</f>
        <v>0.98154842584964674</v>
      </c>
      <c r="G30" s="622"/>
      <c r="H30" s="622"/>
      <c r="I30" s="622"/>
      <c r="J30" s="622"/>
      <c r="K30" s="701" t="e">
        <f>(K28+0.5*#REF!)/K27</f>
        <v>#REF!</v>
      </c>
      <c r="L30" s="716"/>
      <c r="M30" s="612"/>
    </row>
    <row r="31" spans="1:13" ht="32.25" customHeight="1" outlineLevel="1" x14ac:dyDescent="0.25">
      <c r="A31" s="714"/>
      <c r="B31" s="703"/>
      <c r="C31" s="366" t="s">
        <v>5</v>
      </c>
      <c r="D31" s="213">
        <v>27690</v>
      </c>
      <c r="E31" s="213">
        <v>27690</v>
      </c>
      <c r="F31" s="214">
        <f t="shared" si="3"/>
        <v>1</v>
      </c>
      <c r="G31" s="622"/>
      <c r="H31" s="622"/>
      <c r="I31" s="622"/>
      <c r="J31" s="622"/>
      <c r="K31" s="701" t="e">
        <f>(#REF!+0.5*K29)/K28</f>
        <v>#REF!</v>
      </c>
      <c r="L31" s="716"/>
      <c r="M31" s="612"/>
    </row>
    <row r="32" spans="1:13" ht="31.5" customHeight="1" outlineLevel="1" x14ac:dyDescent="0.25">
      <c r="A32" s="710" t="s">
        <v>1063</v>
      </c>
      <c r="B32" s="702" t="s">
        <v>1167</v>
      </c>
      <c r="C32" s="229" t="s">
        <v>3</v>
      </c>
      <c r="D32" s="213">
        <f>SUM(D33:D34)</f>
        <v>339700.7</v>
      </c>
      <c r="E32" s="213">
        <f>SUM(E33:E34)</f>
        <v>324249.54692999995</v>
      </c>
      <c r="F32" s="214">
        <f t="shared" ref="F32:F37" si="4">E32/D32</f>
        <v>0.95451539231446958</v>
      </c>
      <c r="G32" s="621">
        <f>SUM(H32:J34)</f>
        <v>16</v>
      </c>
      <c r="H32" s="621">
        <v>14</v>
      </c>
      <c r="I32" s="621">
        <v>1</v>
      </c>
      <c r="J32" s="621">
        <v>1</v>
      </c>
      <c r="K32" s="700">
        <f>(H32+0.5*I32)/G32</f>
        <v>0.90625</v>
      </c>
      <c r="L32" s="702" t="s">
        <v>1725</v>
      </c>
      <c r="M32" s="608" t="s">
        <v>1739</v>
      </c>
    </row>
    <row r="33" spans="1:13" ht="30" customHeight="1" outlineLevel="1" x14ac:dyDescent="0.25">
      <c r="A33" s="710"/>
      <c r="B33" s="703"/>
      <c r="C33" s="366" t="s">
        <v>4</v>
      </c>
      <c r="D33" s="213">
        <v>307387.10000000003</v>
      </c>
      <c r="E33" s="213">
        <v>297317.84190999996</v>
      </c>
      <c r="F33" s="214">
        <f t="shared" si="4"/>
        <v>0.9672424181431164</v>
      </c>
      <c r="G33" s="622"/>
      <c r="H33" s="622"/>
      <c r="I33" s="622"/>
      <c r="J33" s="622"/>
      <c r="K33" s="701" t="e">
        <f>(K31+0.5*#REF!)/K30</f>
        <v>#REF!</v>
      </c>
      <c r="L33" s="703"/>
      <c r="M33" s="609"/>
    </row>
    <row r="34" spans="1:13" ht="31.5" customHeight="1" outlineLevel="1" x14ac:dyDescent="0.25">
      <c r="A34" s="710"/>
      <c r="B34" s="703"/>
      <c r="C34" s="366" t="s">
        <v>5</v>
      </c>
      <c r="D34" s="213">
        <v>32313.599999999999</v>
      </c>
      <c r="E34" s="213">
        <v>26931.705020000001</v>
      </c>
      <c r="F34" s="214">
        <f t="shared" si="4"/>
        <v>0.8334479915577343</v>
      </c>
      <c r="G34" s="622"/>
      <c r="H34" s="622"/>
      <c r="I34" s="622"/>
      <c r="J34" s="622"/>
      <c r="K34" s="701" t="e">
        <f>(#REF!+0.5*K32)/K31</f>
        <v>#REF!</v>
      </c>
      <c r="L34" s="703"/>
      <c r="M34" s="609"/>
    </row>
    <row r="35" spans="1:13" ht="32.25" customHeight="1" outlineLevel="1" x14ac:dyDescent="0.25">
      <c r="A35" s="710" t="s">
        <v>42</v>
      </c>
      <c r="B35" s="702" t="s">
        <v>1168</v>
      </c>
      <c r="C35" s="229" t="s">
        <v>3</v>
      </c>
      <c r="D35" s="213">
        <f>SUM(D36:D37)</f>
        <v>10141287.299999999</v>
      </c>
      <c r="E35" s="213">
        <f>SUM(E36:E37)</f>
        <v>10109039.262149999</v>
      </c>
      <c r="F35" s="214">
        <f t="shared" si="4"/>
        <v>0.99682012382688345</v>
      </c>
      <c r="G35" s="621">
        <f>SUM(H35:J37)</f>
        <v>17</v>
      </c>
      <c r="H35" s="621">
        <v>17</v>
      </c>
      <c r="I35" s="621">
        <v>0</v>
      </c>
      <c r="J35" s="621">
        <v>0</v>
      </c>
      <c r="K35" s="700">
        <f>(H35+0.5*I35)/G35</f>
        <v>1</v>
      </c>
      <c r="L35" s="702" t="s">
        <v>1726</v>
      </c>
      <c r="M35" s="704" t="s">
        <v>41</v>
      </c>
    </row>
    <row r="36" spans="1:13" ht="25.5" customHeight="1" outlineLevel="1" x14ac:dyDescent="0.25">
      <c r="A36" s="710"/>
      <c r="B36" s="703"/>
      <c r="C36" s="366" t="s">
        <v>4</v>
      </c>
      <c r="D36" s="213">
        <v>10139850.199999999</v>
      </c>
      <c r="E36" s="213">
        <v>10107602.162149999</v>
      </c>
      <c r="F36" s="214">
        <f t="shared" si="4"/>
        <v>0.99681967314960929</v>
      </c>
      <c r="G36" s="622"/>
      <c r="H36" s="622"/>
      <c r="I36" s="622"/>
      <c r="J36" s="622"/>
      <c r="K36" s="701" t="e">
        <f>(K34+0.5*#REF!)/K33</f>
        <v>#REF!</v>
      </c>
      <c r="L36" s="703"/>
      <c r="M36" s="705"/>
    </row>
    <row r="37" spans="1:13" ht="27.75" customHeight="1" outlineLevel="1" x14ac:dyDescent="0.25">
      <c r="A37" s="710"/>
      <c r="B37" s="703"/>
      <c r="C37" s="366" t="s">
        <v>5</v>
      </c>
      <c r="D37" s="213">
        <v>1437.1</v>
      </c>
      <c r="E37" s="213">
        <v>1437.1</v>
      </c>
      <c r="F37" s="214">
        <f t="shared" si="4"/>
        <v>1</v>
      </c>
      <c r="G37" s="622"/>
      <c r="H37" s="622"/>
      <c r="I37" s="622"/>
      <c r="J37" s="622"/>
      <c r="K37" s="701" t="e">
        <f>(#REF!+0.5*K35)/K34</f>
        <v>#REF!</v>
      </c>
      <c r="L37" s="703"/>
      <c r="M37" s="705"/>
    </row>
    <row r="38" spans="1:13" ht="24.75" customHeight="1" x14ac:dyDescent="0.25">
      <c r="A38" s="624" t="s">
        <v>9</v>
      </c>
      <c r="B38" s="642" t="s">
        <v>1075</v>
      </c>
      <c r="C38" s="189" t="s">
        <v>3</v>
      </c>
      <c r="D38" s="190">
        <f>SUM(D39:D41)</f>
        <v>26703957.850930002</v>
      </c>
      <c r="E38" s="190">
        <f>SUM(E39:E41)</f>
        <v>25210516.826269995</v>
      </c>
      <c r="F38" s="504">
        <f t="shared" ref="F38:F44" si="5">E38/D38</f>
        <v>0.94407416934235477</v>
      </c>
      <c r="G38" s="706">
        <f>SUM(G42:G55)</f>
        <v>115</v>
      </c>
      <c r="H38" s="706">
        <f>SUM(H42:H55)</f>
        <v>88</v>
      </c>
      <c r="I38" s="706">
        <f>SUM(I42:I55)</f>
        <v>23</v>
      </c>
      <c r="J38" s="706">
        <f>SUM(J42:J55)</f>
        <v>4</v>
      </c>
      <c r="K38" s="708">
        <f>(H38+0.5*I38)/G38</f>
        <v>0.86521739130434783</v>
      </c>
      <c r="L38" s="711" t="s">
        <v>1161</v>
      </c>
      <c r="M38" s="639"/>
    </row>
    <row r="39" spans="1:13" ht="44.25" customHeight="1" x14ac:dyDescent="0.25">
      <c r="A39" s="625"/>
      <c r="B39" s="643"/>
      <c r="C39" s="192" t="s">
        <v>4</v>
      </c>
      <c r="D39" s="193">
        <f>D43+D46+D50+D53</f>
        <v>24351389.000410002</v>
      </c>
      <c r="E39" s="193">
        <f>E43+E46+E50+E53</f>
        <v>23393201.676709995</v>
      </c>
      <c r="F39" s="503">
        <f t="shared" si="5"/>
        <v>0.96065163577798895</v>
      </c>
      <c r="G39" s="707"/>
      <c r="H39" s="707"/>
      <c r="I39" s="707"/>
      <c r="J39" s="707"/>
      <c r="K39" s="709"/>
      <c r="L39" s="712"/>
      <c r="M39" s="640"/>
    </row>
    <row r="40" spans="1:13" ht="24.75" customHeight="1" x14ac:dyDescent="0.25">
      <c r="A40" s="625"/>
      <c r="B40" s="643"/>
      <c r="C40" s="192" t="s">
        <v>5</v>
      </c>
      <c r="D40" s="193">
        <f>D44+D47+D51+D54</f>
        <v>1914187.78581</v>
      </c>
      <c r="E40" s="193">
        <f>E44+E47+E51+E54</f>
        <v>1705516.5222400003</v>
      </c>
      <c r="F40" s="503">
        <f t="shared" si="5"/>
        <v>0.89098704676892548</v>
      </c>
      <c r="G40" s="707"/>
      <c r="H40" s="707"/>
      <c r="I40" s="707"/>
      <c r="J40" s="707"/>
      <c r="K40" s="709"/>
      <c r="L40" s="712"/>
      <c r="M40" s="640"/>
    </row>
    <row r="41" spans="1:13" ht="24.75" customHeight="1" x14ac:dyDescent="0.25">
      <c r="A41" s="625"/>
      <c r="B41" s="643"/>
      <c r="C41" s="192" t="s">
        <v>6</v>
      </c>
      <c r="D41" s="193">
        <f>D48+D55</f>
        <v>438381.06471000006</v>
      </c>
      <c r="E41" s="193">
        <f>E48+E55</f>
        <v>111798.62732000001</v>
      </c>
      <c r="F41" s="503">
        <f t="shared" si="5"/>
        <v>0.25502613210257513</v>
      </c>
      <c r="G41" s="707"/>
      <c r="H41" s="707"/>
      <c r="I41" s="707"/>
      <c r="J41" s="707"/>
      <c r="K41" s="709"/>
      <c r="L41" s="712"/>
      <c r="M41" s="640"/>
    </row>
    <row r="42" spans="1:13" ht="27.75" customHeight="1" outlineLevel="1" x14ac:dyDescent="0.25">
      <c r="A42" s="621" t="s">
        <v>11</v>
      </c>
      <c r="B42" s="651" t="s">
        <v>190</v>
      </c>
      <c r="C42" s="358" t="s">
        <v>3</v>
      </c>
      <c r="D42" s="213">
        <f>SUM(D43:D44)</f>
        <v>2489048.0780799999</v>
      </c>
      <c r="E42" s="213">
        <f>E43+E44</f>
        <v>2480640.2566199997</v>
      </c>
      <c r="F42" s="214">
        <f t="shared" si="5"/>
        <v>0.99662207350109289</v>
      </c>
      <c r="G42" s="621">
        <f>SUM(H42:J44)</f>
        <v>22</v>
      </c>
      <c r="H42" s="621">
        <v>18</v>
      </c>
      <c r="I42" s="621">
        <v>3</v>
      </c>
      <c r="J42" s="621">
        <v>1</v>
      </c>
      <c r="K42" s="700">
        <f>(H42+0.5*I42)/G42</f>
        <v>0.88636363636363635</v>
      </c>
      <c r="L42" s="608" t="s">
        <v>1731</v>
      </c>
      <c r="M42" s="608"/>
    </row>
    <row r="43" spans="1:13" ht="27.75" customHeight="1" outlineLevel="1" x14ac:dyDescent="0.25">
      <c r="A43" s="622"/>
      <c r="B43" s="652"/>
      <c r="C43" s="358" t="s">
        <v>4</v>
      </c>
      <c r="D43" s="213">
        <v>2401872.4780799998</v>
      </c>
      <c r="E43" s="213">
        <v>2393721.3898999998</v>
      </c>
      <c r="F43" s="214">
        <f t="shared" si="5"/>
        <v>0.99660636097278743</v>
      </c>
      <c r="G43" s="622"/>
      <c r="H43" s="622"/>
      <c r="I43" s="622"/>
      <c r="J43" s="622"/>
      <c r="K43" s="701"/>
      <c r="L43" s="609"/>
      <c r="M43" s="609"/>
    </row>
    <row r="44" spans="1:13" ht="27.75" customHeight="1" outlineLevel="1" x14ac:dyDescent="0.25">
      <c r="A44" s="622"/>
      <c r="B44" s="652"/>
      <c r="C44" s="358" t="s">
        <v>5</v>
      </c>
      <c r="D44" s="213">
        <v>87175.6</v>
      </c>
      <c r="E44" s="213">
        <v>86918.866720000005</v>
      </c>
      <c r="F44" s="214">
        <f t="shared" si="5"/>
        <v>0.99705498694588857</v>
      </c>
      <c r="G44" s="622"/>
      <c r="H44" s="622"/>
      <c r="I44" s="622"/>
      <c r="J44" s="622"/>
      <c r="K44" s="701"/>
      <c r="L44" s="609"/>
      <c r="M44" s="609"/>
    </row>
    <row r="45" spans="1:13" ht="27.75" customHeight="1" outlineLevel="1" x14ac:dyDescent="0.25">
      <c r="A45" s="621" t="s">
        <v>12</v>
      </c>
      <c r="B45" s="651" t="s">
        <v>1158</v>
      </c>
      <c r="C45" s="358" t="s">
        <v>3</v>
      </c>
      <c r="D45" s="213">
        <f>D46+D47+D48</f>
        <v>20929440.517239999</v>
      </c>
      <c r="E45" s="213">
        <f>E46+E47+E48</f>
        <v>20496286.311699994</v>
      </c>
      <c r="F45" s="214">
        <f t="shared" ref="F45:F55" si="6">E45/D45</f>
        <v>0.97930407144982168</v>
      </c>
      <c r="G45" s="621">
        <f>SUM(H45:J48)</f>
        <v>45</v>
      </c>
      <c r="H45" s="621">
        <v>32</v>
      </c>
      <c r="I45" s="621">
        <v>13</v>
      </c>
      <c r="J45" s="621">
        <v>0</v>
      </c>
      <c r="K45" s="700">
        <f>(H45+0.5*I45)/G45</f>
        <v>0.85555555555555551</v>
      </c>
      <c r="L45" s="608" t="s">
        <v>1734</v>
      </c>
      <c r="M45" s="608" t="s">
        <v>1728</v>
      </c>
    </row>
    <row r="46" spans="1:13" ht="27.75" customHeight="1" outlineLevel="1" x14ac:dyDescent="0.25">
      <c r="A46" s="622"/>
      <c r="B46" s="652"/>
      <c r="C46" s="358" t="s">
        <v>4</v>
      </c>
      <c r="D46" s="213">
        <v>19453270.987330001</v>
      </c>
      <c r="E46" s="213">
        <v>19245640.637799993</v>
      </c>
      <c r="F46" s="214">
        <f t="shared" si="6"/>
        <v>0.98932671273302886</v>
      </c>
      <c r="G46" s="622"/>
      <c r="H46" s="622"/>
      <c r="I46" s="622"/>
      <c r="J46" s="622"/>
      <c r="K46" s="701"/>
      <c r="L46" s="609"/>
      <c r="M46" s="609"/>
    </row>
    <row r="47" spans="1:13" ht="27.75" customHeight="1" outlineLevel="1" x14ac:dyDescent="0.25">
      <c r="A47" s="622"/>
      <c r="B47" s="652"/>
      <c r="C47" s="358" t="s">
        <v>5</v>
      </c>
      <c r="D47" s="213">
        <v>1382872.2</v>
      </c>
      <c r="E47" s="213">
        <v>1174464.0037400001</v>
      </c>
      <c r="F47" s="214">
        <f t="shared" si="6"/>
        <v>0.8492932345736649</v>
      </c>
      <c r="G47" s="622"/>
      <c r="H47" s="622"/>
      <c r="I47" s="622"/>
      <c r="J47" s="622"/>
      <c r="K47" s="701"/>
      <c r="L47" s="609"/>
      <c r="M47" s="609"/>
    </row>
    <row r="48" spans="1:13" ht="27.75" customHeight="1" outlineLevel="1" x14ac:dyDescent="0.25">
      <c r="A48" s="622"/>
      <c r="B48" s="652"/>
      <c r="C48" s="358" t="s">
        <v>6</v>
      </c>
      <c r="D48" s="213">
        <v>93297.32991</v>
      </c>
      <c r="E48" s="213">
        <v>76181.670160000009</v>
      </c>
      <c r="F48" s="214">
        <f t="shared" si="6"/>
        <v>0.81654716414166684</v>
      </c>
      <c r="G48" s="622"/>
      <c r="H48" s="622"/>
      <c r="I48" s="622"/>
      <c r="J48" s="622"/>
      <c r="K48" s="701"/>
      <c r="L48" s="609"/>
      <c r="M48" s="609"/>
    </row>
    <row r="49" spans="1:13" ht="29.25" customHeight="1" outlineLevel="1" x14ac:dyDescent="0.25">
      <c r="A49" s="621" t="s">
        <v>30</v>
      </c>
      <c r="B49" s="651" t="s">
        <v>1159</v>
      </c>
      <c r="C49" s="358" t="s">
        <v>3</v>
      </c>
      <c r="D49" s="213">
        <f>D50+D51</f>
        <v>992501.89488000004</v>
      </c>
      <c r="E49" s="213">
        <f>E50+E51</f>
        <v>977163.90437999996</v>
      </c>
      <c r="F49" s="214">
        <f t="shared" si="6"/>
        <v>0.9845461347941763</v>
      </c>
      <c r="G49" s="621">
        <f>SUM(H49:J51)</f>
        <v>21</v>
      </c>
      <c r="H49" s="621">
        <v>18</v>
      </c>
      <c r="I49" s="621">
        <v>2</v>
      </c>
      <c r="J49" s="621">
        <v>1</v>
      </c>
      <c r="K49" s="700">
        <f>(H49+0.5*I49)/G49</f>
        <v>0.90476190476190477</v>
      </c>
      <c r="L49" s="608" t="s">
        <v>1732</v>
      </c>
      <c r="M49" s="608" t="s">
        <v>1729</v>
      </c>
    </row>
    <row r="50" spans="1:13" ht="29.25" customHeight="1" outlineLevel="1" x14ac:dyDescent="0.25">
      <c r="A50" s="622"/>
      <c r="B50" s="652"/>
      <c r="C50" s="358" t="s">
        <v>4</v>
      </c>
      <c r="D50" s="213">
        <v>785971.70906999998</v>
      </c>
      <c r="E50" s="213">
        <v>770633.7206</v>
      </c>
      <c r="F50" s="214">
        <f t="shared" si="6"/>
        <v>0.98048531735557165</v>
      </c>
      <c r="G50" s="622"/>
      <c r="H50" s="622"/>
      <c r="I50" s="622"/>
      <c r="J50" s="622"/>
      <c r="K50" s="701"/>
      <c r="L50" s="609"/>
      <c r="M50" s="609"/>
    </row>
    <row r="51" spans="1:13" ht="29.25" customHeight="1" outlineLevel="1" x14ac:dyDescent="0.25">
      <c r="A51" s="622"/>
      <c r="B51" s="652"/>
      <c r="C51" s="358" t="s">
        <v>5</v>
      </c>
      <c r="D51" s="213">
        <v>206530.18581</v>
      </c>
      <c r="E51" s="213">
        <v>206530.18378000002</v>
      </c>
      <c r="F51" s="214">
        <f t="shared" si="6"/>
        <v>0.99999999017092844</v>
      </c>
      <c r="G51" s="622"/>
      <c r="H51" s="622"/>
      <c r="I51" s="622"/>
      <c r="J51" s="622"/>
      <c r="K51" s="701"/>
      <c r="L51" s="609"/>
      <c r="M51" s="609"/>
    </row>
    <row r="52" spans="1:13" ht="24.75" customHeight="1" outlineLevel="1" x14ac:dyDescent="0.25">
      <c r="A52" s="621" t="s">
        <v>31</v>
      </c>
      <c r="B52" s="651" t="s">
        <v>1160</v>
      </c>
      <c r="C52" s="358" t="s">
        <v>3</v>
      </c>
      <c r="D52" s="213">
        <f>D53+D54+D55</f>
        <v>2292967.3607300003</v>
      </c>
      <c r="E52" s="213">
        <f>E53+E54+E55</f>
        <v>1256426.35357</v>
      </c>
      <c r="F52" s="214">
        <f t="shared" si="6"/>
        <v>0.54794777068697476</v>
      </c>
      <c r="G52" s="621">
        <f>SUM(H52:J55)</f>
        <v>27</v>
      </c>
      <c r="H52" s="621">
        <v>20</v>
      </c>
      <c r="I52" s="621">
        <v>5</v>
      </c>
      <c r="J52" s="621">
        <v>2</v>
      </c>
      <c r="K52" s="700">
        <f>(H52+0.5*I52)/G52</f>
        <v>0.83333333333333337</v>
      </c>
      <c r="L52" s="608" t="s">
        <v>1733</v>
      </c>
      <c r="M52" s="605" t="s">
        <v>1730</v>
      </c>
    </row>
    <row r="53" spans="1:13" ht="24.75" customHeight="1" outlineLevel="1" x14ac:dyDescent="0.25">
      <c r="A53" s="622"/>
      <c r="B53" s="652"/>
      <c r="C53" s="358" t="s">
        <v>4</v>
      </c>
      <c r="D53" s="213">
        <v>1710273.82593</v>
      </c>
      <c r="E53" s="213">
        <v>983205.92840999993</v>
      </c>
      <c r="F53" s="214">
        <f t="shared" si="6"/>
        <v>0.57488217003809872</v>
      </c>
      <c r="G53" s="622"/>
      <c r="H53" s="622"/>
      <c r="I53" s="622"/>
      <c r="J53" s="622"/>
      <c r="K53" s="701"/>
      <c r="L53" s="609"/>
      <c r="M53" s="606"/>
    </row>
    <row r="54" spans="1:13" ht="24.75" customHeight="1" outlineLevel="1" x14ac:dyDescent="0.25">
      <c r="A54" s="622"/>
      <c r="B54" s="652"/>
      <c r="C54" s="358" t="s">
        <v>5</v>
      </c>
      <c r="D54" s="213">
        <v>237609.80000000002</v>
      </c>
      <c r="E54" s="213">
        <v>237603.46799999999</v>
      </c>
      <c r="F54" s="214">
        <f t="shared" si="6"/>
        <v>0.99997335126749809</v>
      </c>
      <c r="G54" s="622"/>
      <c r="H54" s="622"/>
      <c r="I54" s="622"/>
      <c r="J54" s="622"/>
      <c r="K54" s="701"/>
      <c r="L54" s="609"/>
      <c r="M54" s="606"/>
    </row>
    <row r="55" spans="1:13" ht="24.75" customHeight="1" outlineLevel="1" x14ac:dyDescent="0.25">
      <c r="A55" s="622"/>
      <c r="B55" s="652"/>
      <c r="C55" s="358" t="s">
        <v>6</v>
      </c>
      <c r="D55" s="213">
        <v>345083.73480000003</v>
      </c>
      <c r="E55" s="213">
        <v>35616.957160000005</v>
      </c>
      <c r="F55" s="214">
        <f t="shared" si="6"/>
        <v>0.1032125063229726</v>
      </c>
      <c r="G55" s="622"/>
      <c r="H55" s="622"/>
      <c r="I55" s="622"/>
      <c r="J55" s="622"/>
      <c r="K55" s="701"/>
      <c r="L55" s="609"/>
      <c r="M55" s="606"/>
    </row>
    <row r="56" spans="1:13" ht="22.5" customHeight="1" x14ac:dyDescent="0.25">
      <c r="A56" s="691" t="s">
        <v>43</v>
      </c>
      <c r="B56" s="681" t="s">
        <v>1083</v>
      </c>
      <c r="C56" s="505" t="s">
        <v>3</v>
      </c>
      <c r="D56" s="190">
        <f>SUM(D57:D59)</f>
        <v>21944396.911110003</v>
      </c>
      <c r="E56" s="190">
        <f>SUM(E57:E59)</f>
        <v>21518837.530219998</v>
      </c>
      <c r="F56" s="504">
        <f t="shared" ref="F56:F70" si="7">E56/D56</f>
        <v>0.98060737861177893</v>
      </c>
      <c r="G56" s="630">
        <f>SUM(G60:G70)</f>
        <v>166</v>
      </c>
      <c r="H56" s="630">
        <f>SUM(H60:H70)</f>
        <v>117</v>
      </c>
      <c r="I56" s="630">
        <f>SUM(I60:I70)</f>
        <v>43</v>
      </c>
      <c r="J56" s="630">
        <f>SUM(J60:J70)</f>
        <v>6</v>
      </c>
      <c r="K56" s="633">
        <f>(H56+I56/2)/G56</f>
        <v>0.83433734939759041</v>
      </c>
      <c r="L56" s="694" t="s">
        <v>1111</v>
      </c>
      <c r="M56" s="697"/>
    </row>
    <row r="57" spans="1:13" ht="22.5" customHeight="1" x14ac:dyDescent="0.25">
      <c r="A57" s="692"/>
      <c r="B57" s="682"/>
      <c r="C57" s="506" t="s">
        <v>4</v>
      </c>
      <c r="D57" s="507">
        <f>D61+D64+D68+D70</f>
        <v>18406080.881110001</v>
      </c>
      <c r="E57" s="507">
        <f>E61+E64+E68+E70</f>
        <v>17950255.691799998</v>
      </c>
      <c r="F57" s="503">
        <f t="shared" si="7"/>
        <v>0.97523507626342054</v>
      </c>
      <c r="G57" s="631"/>
      <c r="H57" s="631"/>
      <c r="I57" s="631"/>
      <c r="J57" s="631"/>
      <c r="K57" s="634" t="e">
        <f>(#REF!+#REF!/2)/#REF!</f>
        <v>#REF!</v>
      </c>
      <c r="L57" s="695"/>
      <c r="M57" s="698"/>
    </row>
    <row r="58" spans="1:13" ht="22.5" customHeight="1" x14ac:dyDescent="0.25">
      <c r="A58" s="692"/>
      <c r="B58" s="682"/>
      <c r="C58" s="506" t="s">
        <v>5</v>
      </c>
      <c r="D58" s="507">
        <f>D62+D65+D69</f>
        <v>3441915.43</v>
      </c>
      <c r="E58" s="507">
        <f>E62+E65+E69</f>
        <v>3434906.3384200004</v>
      </c>
      <c r="F58" s="503">
        <f t="shared" si="7"/>
        <v>0.99796360726387756</v>
      </c>
      <c r="G58" s="631"/>
      <c r="H58" s="631"/>
      <c r="I58" s="631"/>
      <c r="J58" s="631"/>
      <c r="K58" s="634"/>
      <c r="L58" s="695"/>
      <c r="M58" s="698"/>
    </row>
    <row r="59" spans="1:13" ht="22.5" customHeight="1" x14ac:dyDescent="0.25">
      <c r="A59" s="693"/>
      <c r="B59" s="683"/>
      <c r="C59" s="506" t="s">
        <v>7</v>
      </c>
      <c r="D59" s="507">
        <f>D66</f>
        <v>96400.6</v>
      </c>
      <c r="E59" s="507">
        <f>E66</f>
        <v>133675.5</v>
      </c>
      <c r="F59" s="503">
        <f t="shared" si="7"/>
        <v>1.3866666804978391</v>
      </c>
      <c r="G59" s="632"/>
      <c r="H59" s="632"/>
      <c r="I59" s="632"/>
      <c r="J59" s="632"/>
      <c r="K59" s="635" t="e">
        <f>(K56+K57/2)/#REF!</f>
        <v>#REF!</v>
      </c>
      <c r="L59" s="696"/>
      <c r="M59" s="699"/>
    </row>
    <row r="60" spans="1:13" ht="36.75" customHeight="1" outlineLevel="1" x14ac:dyDescent="0.25">
      <c r="A60" s="688" t="s">
        <v>13</v>
      </c>
      <c r="B60" s="687" t="s">
        <v>993</v>
      </c>
      <c r="C60" s="217" t="s">
        <v>3</v>
      </c>
      <c r="D60" s="218">
        <f>SUM(D61:D62)</f>
        <v>3977038.9755000002</v>
      </c>
      <c r="E60" s="218">
        <f>SUM(E61:E62)</f>
        <v>3953759.6897900002</v>
      </c>
      <c r="F60" s="219">
        <f t="shared" si="7"/>
        <v>0.99414657843350074</v>
      </c>
      <c r="G60" s="599">
        <f>SUM(H60:J62)</f>
        <v>18</v>
      </c>
      <c r="H60" s="599">
        <v>13</v>
      </c>
      <c r="I60" s="599">
        <v>3</v>
      </c>
      <c r="J60" s="599">
        <v>2</v>
      </c>
      <c r="K60" s="647">
        <f>(H60+I60/2)/G60</f>
        <v>0.80555555555555558</v>
      </c>
      <c r="L60" s="687" t="s">
        <v>1107</v>
      </c>
      <c r="M60" s="687" t="s">
        <v>1541</v>
      </c>
    </row>
    <row r="61" spans="1:13" ht="39" customHeight="1" outlineLevel="1" x14ac:dyDescent="0.25">
      <c r="A61" s="689"/>
      <c r="B61" s="667"/>
      <c r="C61" s="217" t="s">
        <v>4</v>
      </c>
      <c r="D61" s="218">
        <v>3944164.2755</v>
      </c>
      <c r="E61" s="218">
        <v>3921060.6897900002</v>
      </c>
      <c r="F61" s="219">
        <f t="shared" si="7"/>
        <v>0.99414233685612119</v>
      </c>
      <c r="G61" s="600"/>
      <c r="H61" s="600"/>
      <c r="I61" s="600"/>
      <c r="J61" s="600"/>
      <c r="K61" s="647"/>
      <c r="L61" s="667"/>
      <c r="M61" s="667"/>
    </row>
    <row r="62" spans="1:13" ht="36.75" customHeight="1" outlineLevel="1" x14ac:dyDescent="0.25">
      <c r="A62" s="690"/>
      <c r="B62" s="668"/>
      <c r="C62" s="217" t="s">
        <v>5</v>
      </c>
      <c r="D62" s="218">
        <v>32874.700000000004</v>
      </c>
      <c r="E62" s="218">
        <v>32699</v>
      </c>
      <c r="F62" s="219">
        <f t="shared" si="7"/>
        <v>0.9946554645365584</v>
      </c>
      <c r="G62" s="601"/>
      <c r="H62" s="601"/>
      <c r="I62" s="601"/>
      <c r="J62" s="601"/>
      <c r="K62" s="647"/>
      <c r="L62" s="668"/>
      <c r="M62" s="668"/>
    </row>
    <row r="63" spans="1:13" ht="22.5" customHeight="1" outlineLevel="1" x14ac:dyDescent="0.25">
      <c r="A63" s="688" t="s">
        <v>44</v>
      </c>
      <c r="B63" s="687" t="s">
        <v>192</v>
      </c>
      <c r="C63" s="217" t="s">
        <v>3</v>
      </c>
      <c r="D63" s="218">
        <f>SUM(D64:D66)</f>
        <v>15095689.713030001</v>
      </c>
      <c r="E63" s="218">
        <f>SUM(E64:E66)</f>
        <v>14850402.753929999</v>
      </c>
      <c r="F63" s="219">
        <f t="shared" si="7"/>
        <v>0.98375119230966435</v>
      </c>
      <c r="G63" s="599">
        <f>SUM(H63:J66)</f>
        <v>129</v>
      </c>
      <c r="H63" s="599">
        <v>93</v>
      </c>
      <c r="I63" s="599">
        <v>33</v>
      </c>
      <c r="J63" s="599">
        <v>3</v>
      </c>
      <c r="K63" s="647">
        <f>(H63+I63/2)/G63</f>
        <v>0.84883720930232553</v>
      </c>
      <c r="L63" s="684" t="s">
        <v>1108</v>
      </c>
      <c r="M63" s="687" t="s">
        <v>1112</v>
      </c>
    </row>
    <row r="64" spans="1:13" ht="22.5" customHeight="1" outlineLevel="1" x14ac:dyDescent="0.25">
      <c r="A64" s="689"/>
      <c r="B64" s="667"/>
      <c r="C64" s="362" t="s">
        <v>4</v>
      </c>
      <c r="D64" s="220">
        <v>11603399.783030001</v>
      </c>
      <c r="E64" s="220">
        <v>11327671.315509997</v>
      </c>
      <c r="F64" s="219">
        <f t="shared" si="7"/>
        <v>0.97623726901806329</v>
      </c>
      <c r="G64" s="600"/>
      <c r="H64" s="600"/>
      <c r="I64" s="600"/>
      <c r="J64" s="600"/>
      <c r="K64" s="647"/>
      <c r="L64" s="685"/>
      <c r="M64" s="667"/>
    </row>
    <row r="65" spans="1:13" ht="22.5" customHeight="1" outlineLevel="1" x14ac:dyDescent="0.25">
      <c r="A65" s="689"/>
      <c r="B65" s="667"/>
      <c r="C65" s="362" t="s">
        <v>5</v>
      </c>
      <c r="D65" s="218">
        <v>3395889.33</v>
      </c>
      <c r="E65" s="218">
        <v>3389055.9384200005</v>
      </c>
      <c r="F65" s="219">
        <f t="shared" si="7"/>
        <v>0.99798774609065377</v>
      </c>
      <c r="G65" s="600"/>
      <c r="H65" s="600"/>
      <c r="I65" s="600"/>
      <c r="J65" s="600"/>
      <c r="K65" s="647"/>
      <c r="L65" s="685"/>
      <c r="M65" s="667"/>
    </row>
    <row r="66" spans="1:13" ht="29.25" customHeight="1" outlineLevel="1" x14ac:dyDescent="0.25">
      <c r="A66" s="690"/>
      <c r="B66" s="668"/>
      <c r="C66" s="217" t="s">
        <v>7</v>
      </c>
      <c r="D66" s="218">
        <v>96400.6</v>
      </c>
      <c r="E66" s="218">
        <v>133675.5</v>
      </c>
      <c r="F66" s="219">
        <f t="shared" si="7"/>
        <v>1.3866666804978391</v>
      </c>
      <c r="G66" s="601"/>
      <c r="H66" s="601"/>
      <c r="I66" s="601"/>
      <c r="J66" s="601"/>
      <c r="K66" s="647"/>
      <c r="L66" s="686"/>
      <c r="M66" s="668"/>
    </row>
    <row r="67" spans="1:13" ht="45" customHeight="1" outlineLevel="1" x14ac:dyDescent="0.25">
      <c r="A67" s="688" t="s">
        <v>14</v>
      </c>
      <c r="B67" s="687" t="s">
        <v>994</v>
      </c>
      <c r="C67" s="217" t="s">
        <v>3</v>
      </c>
      <c r="D67" s="218">
        <f>SUM(D68:D69)</f>
        <v>2028489.1125799997</v>
      </c>
      <c r="E67" s="218">
        <f>SUM(E68:E69)</f>
        <v>1878669.3357699998</v>
      </c>
      <c r="F67" s="219">
        <f t="shared" si="7"/>
        <v>0.92614218342072008</v>
      </c>
      <c r="G67" s="599">
        <f>SUM(H67:J69)</f>
        <v>15</v>
      </c>
      <c r="H67" s="599">
        <v>7</v>
      </c>
      <c r="I67" s="599">
        <v>7</v>
      </c>
      <c r="J67" s="599">
        <v>1</v>
      </c>
      <c r="K67" s="602">
        <f>(H67+I67/2)/G67</f>
        <v>0.7</v>
      </c>
      <c r="L67" s="687" t="s">
        <v>1109</v>
      </c>
      <c r="M67" s="687" t="s">
        <v>1542</v>
      </c>
    </row>
    <row r="68" spans="1:13" ht="45" customHeight="1" outlineLevel="1" x14ac:dyDescent="0.25">
      <c r="A68" s="689"/>
      <c r="B68" s="667"/>
      <c r="C68" s="217" t="s">
        <v>4</v>
      </c>
      <c r="D68" s="218">
        <v>2015337.7125799998</v>
      </c>
      <c r="E68" s="218">
        <v>1865517.9357699999</v>
      </c>
      <c r="F68" s="219">
        <f t="shared" si="7"/>
        <v>0.92566021274012522</v>
      </c>
      <c r="G68" s="600"/>
      <c r="H68" s="600"/>
      <c r="I68" s="600"/>
      <c r="J68" s="600"/>
      <c r="K68" s="603"/>
      <c r="L68" s="667"/>
      <c r="M68" s="667"/>
    </row>
    <row r="69" spans="1:13" ht="45" customHeight="1" outlineLevel="1" x14ac:dyDescent="0.25">
      <c r="A69" s="690"/>
      <c r="B69" s="668"/>
      <c r="C69" s="217" t="s">
        <v>5</v>
      </c>
      <c r="D69" s="218">
        <v>13151.4</v>
      </c>
      <c r="E69" s="218">
        <v>13151.4</v>
      </c>
      <c r="F69" s="219">
        <f t="shared" si="7"/>
        <v>1</v>
      </c>
      <c r="G69" s="601"/>
      <c r="H69" s="601"/>
      <c r="I69" s="601"/>
      <c r="J69" s="601"/>
      <c r="K69" s="604"/>
      <c r="L69" s="668"/>
      <c r="M69" s="668"/>
    </row>
    <row r="70" spans="1:13" ht="57" customHeight="1" outlineLevel="1" x14ac:dyDescent="0.25">
      <c r="A70" s="217" t="s">
        <v>183</v>
      </c>
      <c r="B70" s="221" t="s">
        <v>191</v>
      </c>
      <c r="C70" s="217" t="s">
        <v>4</v>
      </c>
      <c r="D70" s="223">
        <v>843179.10999999987</v>
      </c>
      <c r="E70" s="223">
        <v>836005.75072999997</v>
      </c>
      <c r="F70" s="219">
        <f t="shared" si="7"/>
        <v>0.99149248459203421</v>
      </c>
      <c r="G70" s="448">
        <f>SUM(H70:J70)</f>
        <v>4</v>
      </c>
      <c r="H70" s="355">
        <v>4</v>
      </c>
      <c r="I70" s="355">
        <v>0</v>
      </c>
      <c r="J70" s="355">
        <v>0</v>
      </c>
      <c r="K70" s="356">
        <f>(H70+I70/2)/G70</f>
        <v>1</v>
      </c>
      <c r="L70" s="363" t="s">
        <v>1110</v>
      </c>
      <c r="M70" s="222" t="s">
        <v>41</v>
      </c>
    </row>
    <row r="71" spans="1:13" ht="19.5" customHeight="1" x14ac:dyDescent="0.25">
      <c r="A71" s="624" t="s">
        <v>15</v>
      </c>
      <c r="B71" s="627" t="s">
        <v>1084</v>
      </c>
      <c r="C71" s="189" t="s">
        <v>3</v>
      </c>
      <c r="D71" s="508">
        <f>SUM(D72:D74)</f>
        <v>2153264.4319799999</v>
      </c>
      <c r="E71" s="508">
        <f>SUM(E72:E74)</f>
        <v>2078158.0993399997</v>
      </c>
      <c r="F71" s="504">
        <f>E71/D71</f>
        <v>0.96511978207389171</v>
      </c>
      <c r="G71" s="630">
        <f>SUM(G75:G87)</f>
        <v>42</v>
      </c>
      <c r="H71" s="630">
        <f>SUM(H75:H87)</f>
        <v>39</v>
      </c>
      <c r="I71" s="630">
        <f>SUM(I75:I87)</f>
        <v>2</v>
      </c>
      <c r="J71" s="630">
        <f>SUM(J75:J87)</f>
        <v>1</v>
      </c>
      <c r="K71" s="633">
        <f>(H71+I71/2)/G71</f>
        <v>0.95238095238095233</v>
      </c>
      <c r="L71" s="636" t="s">
        <v>1172</v>
      </c>
      <c r="M71" s="639"/>
    </row>
    <row r="72" spans="1:13" ht="19.5" customHeight="1" x14ac:dyDescent="0.25">
      <c r="A72" s="625"/>
      <c r="B72" s="628"/>
      <c r="C72" s="192" t="s">
        <v>4</v>
      </c>
      <c r="D72" s="509">
        <f>D76+D80+D84+D87</f>
        <v>1676033.8095300002</v>
      </c>
      <c r="E72" s="509">
        <f>E76+E80+E84+E87</f>
        <v>1600934.8396899998</v>
      </c>
      <c r="F72" s="503">
        <f t="shared" ref="F72:F87" si="8">E72/D72</f>
        <v>0.95519244933307168</v>
      </c>
      <c r="G72" s="631"/>
      <c r="H72" s="631"/>
      <c r="I72" s="631"/>
      <c r="J72" s="631"/>
      <c r="K72" s="634"/>
      <c r="L72" s="637"/>
      <c r="M72" s="640"/>
    </row>
    <row r="73" spans="1:13" ht="19.5" customHeight="1" x14ac:dyDescent="0.25">
      <c r="A73" s="625"/>
      <c r="B73" s="628"/>
      <c r="C73" s="192" t="s">
        <v>5</v>
      </c>
      <c r="D73" s="509">
        <f>D78+D81+D85</f>
        <v>448291.11470999999</v>
      </c>
      <c r="E73" s="509">
        <f>E78+E81+E85</f>
        <v>448284.77965000004</v>
      </c>
      <c r="F73" s="503">
        <f t="shared" si="8"/>
        <v>0.99998586842390558</v>
      </c>
      <c r="G73" s="631"/>
      <c r="H73" s="631"/>
      <c r="I73" s="631"/>
      <c r="J73" s="631"/>
      <c r="K73" s="634"/>
      <c r="L73" s="637"/>
      <c r="M73" s="640"/>
    </row>
    <row r="74" spans="1:13" ht="19.5" customHeight="1" x14ac:dyDescent="0.25">
      <c r="A74" s="625"/>
      <c r="B74" s="628"/>
      <c r="C74" s="192" t="s">
        <v>6</v>
      </c>
      <c r="D74" s="509">
        <f>D82+D86</f>
        <v>28939.507739999975</v>
      </c>
      <c r="E74" s="509">
        <f>E82+E86</f>
        <v>28938.48</v>
      </c>
      <c r="F74" s="503">
        <f t="shared" si="8"/>
        <v>0.99996448661085702</v>
      </c>
      <c r="G74" s="631"/>
      <c r="H74" s="631"/>
      <c r="I74" s="631"/>
      <c r="J74" s="631"/>
      <c r="K74" s="634"/>
      <c r="L74" s="637"/>
      <c r="M74" s="640"/>
    </row>
    <row r="75" spans="1:13" s="233" customFormat="1" ht="24.75" customHeight="1" outlineLevel="1" x14ac:dyDescent="0.25">
      <c r="A75" s="621" t="s">
        <v>16</v>
      </c>
      <c r="B75" s="618" t="s">
        <v>1169</v>
      </c>
      <c r="C75" s="358" t="s">
        <v>3</v>
      </c>
      <c r="D75" s="213">
        <f>SUM(D76:D78)</f>
        <v>296877.71737999999</v>
      </c>
      <c r="E75" s="213">
        <f>SUM(E76:E78)</f>
        <v>295679.78667</v>
      </c>
      <c r="F75" s="214">
        <f t="shared" si="8"/>
        <v>0.99596490191122478</v>
      </c>
      <c r="G75" s="599">
        <f>SUM(H75:J78)</f>
        <v>12</v>
      </c>
      <c r="H75" s="599">
        <v>12</v>
      </c>
      <c r="I75" s="599">
        <v>0</v>
      </c>
      <c r="J75" s="599">
        <v>0</v>
      </c>
      <c r="K75" s="602">
        <f>(H75+I75/2)/G75</f>
        <v>1</v>
      </c>
      <c r="L75" s="618" t="s">
        <v>1076</v>
      </c>
      <c r="M75" s="621" t="s">
        <v>41</v>
      </c>
    </row>
    <row r="76" spans="1:13" s="233" customFormat="1" ht="24.75" customHeight="1" outlineLevel="1" x14ac:dyDescent="0.25">
      <c r="A76" s="622"/>
      <c r="B76" s="619"/>
      <c r="C76" s="358" t="s">
        <v>4</v>
      </c>
      <c r="D76" s="213">
        <v>283276.29456000001</v>
      </c>
      <c r="E76" s="213">
        <v>282078.36385000002</v>
      </c>
      <c r="F76" s="214">
        <f t="shared" si="8"/>
        <v>0.99577115793659798</v>
      </c>
      <c r="G76" s="600"/>
      <c r="H76" s="600"/>
      <c r="I76" s="600"/>
      <c r="J76" s="600"/>
      <c r="K76" s="603"/>
      <c r="L76" s="619"/>
      <c r="M76" s="622"/>
    </row>
    <row r="77" spans="1:13" s="233" customFormat="1" ht="24.75" customHeight="1" outlineLevel="1" x14ac:dyDescent="0.25">
      <c r="A77" s="622"/>
      <c r="B77" s="619"/>
      <c r="C77" s="467" t="s">
        <v>5</v>
      </c>
      <c r="D77" s="213">
        <v>1115.63148</v>
      </c>
      <c r="E77" s="213">
        <v>1115.63148</v>
      </c>
      <c r="F77" s="214">
        <f t="shared" ref="F77" si="9">E77/D77</f>
        <v>1</v>
      </c>
      <c r="G77" s="600"/>
      <c r="H77" s="600"/>
      <c r="I77" s="600"/>
      <c r="J77" s="600"/>
      <c r="K77" s="603"/>
      <c r="L77" s="619"/>
      <c r="M77" s="622"/>
    </row>
    <row r="78" spans="1:13" s="233" customFormat="1" ht="24.75" customHeight="1" outlineLevel="1" x14ac:dyDescent="0.25">
      <c r="A78" s="623"/>
      <c r="B78" s="620"/>
      <c r="C78" s="358" t="s">
        <v>6</v>
      </c>
      <c r="D78" s="213">
        <v>12485.79134</v>
      </c>
      <c r="E78" s="213">
        <v>12485.79134</v>
      </c>
      <c r="F78" s="214">
        <f t="shared" si="8"/>
        <v>1</v>
      </c>
      <c r="G78" s="601"/>
      <c r="H78" s="601"/>
      <c r="I78" s="601"/>
      <c r="J78" s="601"/>
      <c r="K78" s="604"/>
      <c r="L78" s="620"/>
      <c r="M78" s="623"/>
    </row>
    <row r="79" spans="1:13" ht="31.5" customHeight="1" outlineLevel="1" x14ac:dyDescent="0.25">
      <c r="A79" s="621" t="s">
        <v>38</v>
      </c>
      <c r="B79" s="618" t="s">
        <v>1170</v>
      </c>
      <c r="C79" s="358" t="s">
        <v>3</v>
      </c>
      <c r="D79" s="213">
        <f>SUM(D80:D82)</f>
        <v>1113485.83519</v>
      </c>
      <c r="E79" s="213">
        <f>SUM(E80:E82)</f>
        <v>1112549.6860999998</v>
      </c>
      <c r="F79" s="214">
        <f t="shared" si="8"/>
        <v>0.99915926268622857</v>
      </c>
      <c r="G79" s="599">
        <f>SUM(H79:J82)</f>
        <v>14</v>
      </c>
      <c r="H79" s="599">
        <v>13</v>
      </c>
      <c r="I79" s="599">
        <v>1</v>
      </c>
      <c r="J79" s="599">
        <v>0</v>
      </c>
      <c r="K79" s="602">
        <f>(H79+I79/2)/G79</f>
        <v>0.9642857142857143</v>
      </c>
      <c r="L79" s="618" t="s">
        <v>1751</v>
      </c>
      <c r="M79" s="621" t="s">
        <v>41</v>
      </c>
    </row>
    <row r="80" spans="1:13" ht="22.5" customHeight="1" outlineLevel="1" x14ac:dyDescent="0.25">
      <c r="A80" s="622"/>
      <c r="B80" s="619"/>
      <c r="C80" s="358" t="s">
        <v>4</v>
      </c>
      <c r="D80" s="213">
        <v>1082614.0218200001</v>
      </c>
      <c r="E80" s="213">
        <v>1081684.1677899999</v>
      </c>
      <c r="F80" s="214">
        <f t="shared" si="8"/>
        <v>0.99914110291271019</v>
      </c>
      <c r="G80" s="600"/>
      <c r="H80" s="600"/>
      <c r="I80" s="600"/>
      <c r="J80" s="600"/>
      <c r="K80" s="603" t="e">
        <f>(#REF!+#REF!/2)/#REF!</f>
        <v>#REF!</v>
      </c>
      <c r="L80" s="619"/>
      <c r="M80" s="622"/>
    </row>
    <row r="81" spans="1:13" ht="22.5" customHeight="1" outlineLevel="1" x14ac:dyDescent="0.25">
      <c r="A81" s="622"/>
      <c r="B81" s="619"/>
      <c r="C81" s="358" t="s">
        <v>5</v>
      </c>
      <c r="D81" s="213">
        <v>11094.58337</v>
      </c>
      <c r="E81" s="213">
        <v>11088.28831</v>
      </c>
      <c r="F81" s="214">
        <f t="shared" si="8"/>
        <v>0.99943260059525785</v>
      </c>
      <c r="G81" s="600"/>
      <c r="H81" s="600"/>
      <c r="I81" s="600"/>
      <c r="J81" s="600"/>
      <c r="K81" s="603"/>
      <c r="L81" s="619"/>
      <c r="M81" s="622"/>
    </row>
    <row r="82" spans="1:13" ht="27.75" customHeight="1" outlineLevel="1" x14ac:dyDescent="0.25">
      <c r="A82" s="623"/>
      <c r="B82" s="620"/>
      <c r="C82" s="358" t="s">
        <v>6</v>
      </c>
      <c r="D82" s="213">
        <v>19777.23</v>
      </c>
      <c r="E82" s="213">
        <v>19777.23</v>
      </c>
      <c r="F82" s="214">
        <f t="shared" si="8"/>
        <v>1</v>
      </c>
      <c r="G82" s="601"/>
      <c r="H82" s="601"/>
      <c r="I82" s="601"/>
      <c r="J82" s="601"/>
      <c r="K82" s="604" t="e">
        <f>(#REF!+K79/2)/#REF!</f>
        <v>#REF!</v>
      </c>
      <c r="L82" s="620"/>
      <c r="M82" s="623"/>
    </row>
    <row r="83" spans="1:13" s="233" customFormat="1" ht="20.25" customHeight="1" outlineLevel="1" x14ac:dyDescent="0.25">
      <c r="A83" s="621" t="s">
        <v>17</v>
      </c>
      <c r="B83" s="618" t="s">
        <v>1171</v>
      </c>
      <c r="C83" s="358" t="s">
        <v>3</v>
      </c>
      <c r="D83" s="213">
        <f>SUM(D84:D86)</f>
        <v>689220.51088999992</v>
      </c>
      <c r="E83" s="213">
        <f>SUM(E84:E86)</f>
        <v>617900.04072000005</v>
      </c>
      <c r="F83" s="214">
        <f t="shared" si="8"/>
        <v>0.89652009909295538</v>
      </c>
      <c r="G83" s="599">
        <f>SUM(H83:J86)</f>
        <v>15</v>
      </c>
      <c r="H83" s="599">
        <v>13</v>
      </c>
      <c r="I83" s="599">
        <v>1</v>
      </c>
      <c r="J83" s="599">
        <v>1</v>
      </c>
      <c r="K83" s="602">
        <f>(H83+I83/2)/G83</f>
        <v>0.9</v>
      </c>
      <c r="L83" s="618" t="s">
        <v>1752</v>
      </c>
      <c r="M83" s="651" t="s">
        <v>1753</v>
      </c>
    </row>
    <row r="84" spans="1:13" s="233" customFormat="1" ht="20.25" customHeight="1" outlineLevel="1" x14ac:dyDescent="0.25">
      <c r="A84" s="622"/>
      <c r="B84" s="619"/>
      <c r="C84" s="358" t="s">
        <v>4</v>
      </c>
      <c r="D84" s="213">
        <v>255347.49314999999</v>
      </c>
      <c r="E84" s="213">
        <v>184028.09072000001</v>
      </c>
      <c r="F84" s="214">
        <f t="shared" si="8"/>
        <v>0.72069668062844661</v>
      </c>
      <c r="G84" s="600"/>
      <c r="H84" s="600"/>
      <c r="I84" s="600"/>
      <c r="J84" s="600"/>
      <c r="K84" s="603" t="e">
        <f>(#REF!+#REF!/2)/#REF!</f>
        <v>#REF!</v>
      </c>
      <c r="L84" s="619"/>
      <c r="M84" s="652"/>
    </row>
    <row r="85" spans="1:13" s="233" customFormat="1" ht="20.25" customHeight="1" outlineLevel="1" x14ac:dyDescent="0.25">
      <c r="A85" s="622"/>
      <c r="B85" s="619"/>
      <c r="C85" s="358" t="s">
        <v>5</v>
      </c>
      <c r="D85" s="213">
        <v>424710.74</v>
      </c>
      <c r="E85" s="213">
        <v>424710.7</v>
      </c>
      <c r="F85" s="214">
        <f t="shared" si="8"/>
        <v>0.99999990581825182</v>
      </c>
      <c r="G85" s="600"/>
      <c r="H85" s="600"/>
      <c r="I85" s="600"/>
      <c r="J85" s="600"/>
      <c r="K85" s="603"/>
      <c r="L85" s="619"/>
      <c r="M85" s="652"/>
    </row>
    <row r="86" spans="1:13" s="233" customFormat="1" ht="20.25" customHeight="1" outlineLevel="1" x14ac:dyDescent="0.25">
      <c r="A86" s="622"/>
      <c r="B86" s="619"/>
      <c r="C86" s="358" t="s">
        <v>6</v>
      </c>
      <c r="D86" s="213">
        <v>9162.2777399999759</v>
      </c>
      <c r="E86" s="213">
        <v>9161.25</v>
      </c>
      <c r="F86" s="214">
        <f t="shared" si="8"/>
        <v>0.9998878292026131</v>
      </c>
      <c r="G86" s="600"/>
      <c r="H86" s="600"/>
      <c r="I86" s="600"/>
      <c r="J86" s="600"/>
      <c r="K86" s="603"/>
      <c r="L86" s="619"/>
      <c r="M86" s="652"/>
    </row>
    <row r="87" spans="1:13" ht="41.25" customHeight="1" outlineLevel="1" x14ac:dyDescent="0.25">
      <c r="A87" s="358" t="s">
        <v>18</v>
      </c>
      <c r="B87" s="234" t="s">
        <v>191</v>
      </c>
      <c r="C87" s="358" t="s">
        <v>4</v>
      </c>
      <c r="D87" s="213">
        <v>54796</v>
      </c>
      <c r="E87" s="213">
        <v>53144.217329999999</v>
      </c>
      <c r="F87" s="214">
        <f t="shared" si="8"/>
        <v>0.96985578016643548</v>
      </c>
      <c r="G87" s="355">
        <f>SUM(H87:J87)</f>
        <v>1</v>
      </c>
      <c r="H87" s="355">
        <v>1</v>
      </c>
      <c r="I87" s="355">
        <v>0</v>
      </c>
      <c r="J87" s="355">
        <v>0</v>
      </c>
      <c r="K87" s="356">
        <f>(H87+I87/2)/G87</f>
        <v>1</v>
      </c>
      <c r="L87" s="354" t="s">
        <v>998</v>
      </c>
      <c r="M87" s="487" t="s">
        <v>41</v>
      </c>
    </row>
    <row r="88" spans="1:13" ht="22.5" customHeight="1" x14ac:dyDescent="0.25">
      <c r="A88" s="624" t="s">
        <v>19</v>
      </c>
      <c r="B88" s="681" t="s">
        <v>999</v>
      </c>
      <c r="C88" s="189" t="s">
        <v>3</v>
      </c>
      <c r="D88" s="190">
        <f>SUM(D89:D91)</f>
        <v>3292473.745807719</v>
      </c>
      <c r="E88" s="190">
        <f>SUM(E89:E91)</f>
        <v>2912596.40148</v>
      </c>
      <c r="F88" s="504">
        <f>E88/D88</f>
        <v>0.8846225137523378</v>
      </c>
      <c r="G88" s="630">
        <f>SUM(G92:G106)</f>
        <v>105</v>
      </c>
      <c r="H88" s="630">
        <f>SUM(H92:H106)</f>
        <v>98</v>
      </c>
      <c r="I88" s="630">
        <f>SUM(I92:I106)</f>
        <v>3</v>
      </c>
      <c r="J88" s="630">
        <f>SUM(J92:J106)</f>
        <v>4</v>
      </c>
      <c r="K88" s="633">
        <f>(H88+I88/2)/G88</f>
        <v>0.94761904761904758</v>
      </c>
      <c r="L88" s="636" t="s">
        <v>1183</v>
      </c>
      <c r="M88" s="639"/>
    </row>
    <row r="89" spans="1:13" ht="22.5" customHeight="1" x14ac:dyDescent="0.25">
      <c r="A89" s="625"/>
      <c r="B89" s="682"/>
      <c r="C89" s="192" t="s">
        <v>4</v>
      </c>
      <c r="D89" s="193">
        <f>D93+D97+D101+D105</f>
        <v>2560580.7748299995</v>
      </c>
      <c r="E89" s="193">
        <f>E93+E97+E101+E105</f>
        <v>2362883.18567</v>
      </c>
      <c r="F89" s="503">
        <f t="shared" ref="F89:F145" si="10">E89/D89</f>
        <v>0.92279189506407</v>
      </c>
      <c r="G89" s="631"/>
      <c r="H89" s="631"/>
      <c r="I89" s="631"/>
      <c r="J89" s="631"/>
      <c r="K89" s="634"/>
      <c r="L89" s="637"/>
      <c r="M89" s="640"/>
    </row>
    <row r="90" spans="1:13" ht="22.5" customHeight="1" x14ac:dyDescent="0.25">
      <c r="A90" s="625"/>
      <c r="B90" s="682"/>
      <c r="C90" s="192" t="s">
        <v>5</v>
      </c>
      <c r="D90" s="193">
        <f>D94+D98+D102+D106</f>
        <v>427411.66800000001</v>
      </c>
      <c r="E90" s="193">
        <f>E94+E98+E102+E106</f>
        <v>252360.21381000002</v>
      </c>
      <c r="F90" s="503">
        <f t="shared" si="10"/>
        <v>0.59043828866646664</v>
      </c>
      <c r="G90" s="631"/>
      <c r="H90" s="631"/>
      <c r="I90" s="631"/>
      <c r="J90" s="631"/>
      <c r="K90" s="634"/>
      <c r="L90" s="637"/>
      <c r="M90" s="640"/>
    </row>
    <row r="91" spans="1:13" ht="22.5" customHeight="1" x14ac:dyDescent="0.25">
      <c r="A91" s="626"/>
      <c r="B91" s="683"/>
      <c r="C91" s="192" t="s">
        <v>6</v>
      </c>
      <c r="D91" s="193">
        <f>D95+D99+D103</f>
        <v>304481.30297771929</v>
      </c>
      <c r="E91" s="193">
        <f>E95+E99+E103</f>
        <v>297353.00200000004</v>
      </c>
      <c r="F91" s="503">
        <f t="shared" si="10"/>
        <v>0.97658870706343215</v>
      </c>
      <c r="G91" s="632"/>
      <c r="H91" s="632"/>
      <c r="I91" s="632"/>
      <c r="J91" s="632"/>
      <c r="K91" s="635"/>
      <c r="L91" s="638"/>
      <c r="M91" s="641"/>
    </row>
    <row r="92" spans="1:13" ht="32.25" customHeight="1" outlineLevel="1" x14ac:dyDescent="0.25">
      <c r="A92" s="621" t="s">
        <v>20</v>
      </c>
      <c r="B92" s="618" t="s">
        <v>193</v>
      </c>
      <c r="C92" s="358" t="s">
        <v>3</v>
      </c>
      <c r="D92" s="213">
        <f>SUM(D93:D95)</f>
        <v>456868.74338</v>
      </c>
      <c r="E92" s="213">
        <f>SUM(E93:E95)</f>
        <v>384598.18087000004</v>
      </c>
      <c r="F92" s="214">
        <f t="shared" si="10"/>
        <v>0.84181329198550792</v>
      </c>
      <c r="G92" s="599">
        <f>SUM(H92:J95)</f>
        <v>27</v>
      </c>
      <c r="H92" s="599">
        <v>26</v>
      </c>
      <c r="I92" s="599">
        <v>0</v>
      </c>
      <c r="J92" s="599">
        <v>1</v>
      </c>
      <c r="K92" s="602">
        <f>(H92+0.5*I92)/G92</f>
        <v>0.96296296296296291</v>
      </c>
      <c r="L92" s="618" t="s">
        <v>1184</v>
      </c>
      <c r="M92" s="651" t="s">
        <v>1575</v>
      </c>
    </row>
    <row r="93" spans="1:13" ht="32.25" customHeight="1" outlineLevel="1" x14ac:dyDescent="0.25">
      <c r="A93" s="622"/>
      <c r="B93" s="619"/>
      <c r="C93" s="358" t="s">
        <v>4</v>
      </c>
      <c r="D93" s="213">
        <v>434582.24338</v>
      </c>
      <c r="E93" s="213">
        <v>362311.64087000006</v>
      </c>
      <c r="F93" s="214">
        <f t="shared" si="10"/>
        <v>0.83370097694763312</v>
      </c>
      <c r="G93" s="600"/>
      <c r="H93" s="600"/>
      <c r="I93" s="600"/>
      <c r="J93" s="600"/>
      <c r="K93" s="603"/>
      <c r="L93" s="619"/>
      <c r="M93" s="652"/>
    </row>
    <row r="94" spans="1:13" ht="32.25" customHeight="1" outlineLevel="1" x14ac:dyDescent="0.25">
      <c r="A94" s="622"/>
      <c r="B94" s="619"/>
      <c r="C94" s="449" t="s">
        <v>5</v>
      </c>
      <c r="D94" s="213">
        <v>21775</v>
      </c>
      <c r="E94" s="213">
        <v>21775</v>
      </c>
      <c r="F94" s="214">
        <f t="shared" si="10"/>
        <v>1</v>
      </c>
      <c r="G94" s="600"/>
      <c r="H94" s="600"/>
      <c r="I94" s="600"/>
      <c r="J94" s="600"/>
      <c r="K94" s="603"/>
      <c r="L94" s="619"/>
      <c r="M94" s="652"/>
    </row>
    <row r="95" spans="1:13" ht="32.25" customHeight="1" outlineLevel="1" x14ac:dyDescent="0.25">
      <c r="A95" s="623"/>
      <c r="B95" s="620"/>
      <c r="C95" s="358" t="s">
        <v>6</v>
      </c>
      <c r="D95" s="213">
        <v>511.5</v>
      </c>
      <c r="E95" s="213">
        <v>511.54</v>
      </c>
      <c r="F95" s="214">
        <f t="shared" si="10"/>
        <v>1.0000782013685241</v>
      </c>
      <c r="G95" s="601"/>
      <c r="H95" s="601"/>
      <c r="I95" s="601"/>
      <c r="J95" s="601"/>
      <c r="K95" s="604"/>
      <c r="L95" s="620"/>
      <c r="M95" s="655"/>
    </row>
    <row r="96" spans="1:13" ht="30.75" customHeight="1" outlineLevel="1" x14ac:dyDescent="0.25">
      <c r="A96" s="621" t="s">
        <v>21</v>
      </c>
      <c r="B96" s="618" t="s">
        <v>1187</v>
      </c>
      <c r="C96" s="358" t="s">
        <v>3</v>
      </c>
      <c r="D96" s="213">
        <f>SUM(D97:D99)</f>
        <v>330495.20717999997</v>
      </c>
      <c r="E96" s="213">
        <f>SUM(E97:E99)</f>
        <v>330495.20717999997</v>
      </c>
      <c r="F96" s="214">
        <f t="shared" si="10"/>
        <v>1</v>
      </c>
      <c r="G96" s="599">
        <f>SUM(H96:J99)</f>
        <v>16</v>
      </c>
      <c r="H96" s="599">
        <v>16</v>
      </c>
      <c r="I96" s="599">
        <v>0</v>
      </c>
      <c r="J96" s="599">
        <v>0</v>
      </c>
      <c r="K96" s="602">
        <f>(H96+0.5*I96)/G96</f>
        <v>1</v>
      </c>
      <c r="L96" s="645" t="s">
        <v>1185</v>
      </c>
      <c r="M96" s="621" t="s">
        <v>41</v>
      </c>
    </row>
    <row r="97" spans="1:13" ht="30.75" customHeight="1" outlineLevel="1" x14ac:dyDescent="0.25">
      <c r="A97" s="622"/>
      <c r="B97" s="619"/>
      <c r="C97" s="358" t="s">
        <v>4</v>
      </c>
      <c r="D97" s="213">
        <v>287196.29817999998</v>
      </c>
      <c r="E97" s="213">
        <v>287196.29817999998</v>
      </c>
      <c r="F97" s="214">
        <f t="shared" si="10"/>
        <v>1</v>
      </c>
      <c r="G97" s="600"/>
      <c r="H97" s="600"/>
      <c r="I97" s="600"/>
      <c r="J97" s="600"/>
      <c r="K97" s="603"/>
      <c r="L97" s="646"/>
      <c r="M97" s="622"/>
    </row>
    <row r="98" spans="1:13" ht="30.75" customHeight="1" outlineLevel="1" x14ac:dyDescent="0.25">
      <c r="A98" s="622"/>
      <c r="B98" s="619"/>
      <c r="C98" s="358" t="s">
        <v>5</v>
      </c>
      <c r="D98" s="213">
        <v>42521.7</v>
      </c>
      <c r="E98" s="213">
        <v>42521.7</v>
      </c>
      <c r="F98" s="214">
        <f>E98/D98</f>
        <v>1</v>
      </c>
      <c r="G98" s="600"/>
      <c r="H98" s="600"/>
      <c r="I98" s="600"/>
      <c r="J98" s="600"/>
      <c r="K98" s="603"/>
      <c r="L98" s="646"/>
      <c r="M98" s="622"/>
    </row>
    <row r="99" spans="1:13" ht="30.75" customHeight="1" outlineLevel="1" x14ac:dyDescent="0.25">
      <c r="A99" s="623"/>
      <c r="B99" s="620"/>
      <c r="C99" s="358" t="s">
        <v>6</v>
      </c>
      <c r="D99" s="213">
        <v>777.20899999999995</v>
      </c>
      <c r="E99" s="213">
        <v>777.20899999999995</v>
      </c>
      <c r="F99" s="214">
        <f>E99/D99</f>
        <v>1</v>
      </c>
      <c r="G99" s="601"/>
      <c r="H99" s="601"/>
      <c r="I99" s="601"/>
      <c r="J99" s="601"/>
      <c r="K99" s="604"/>
      <c r="L99" s="677"/>
      <c r="M99" s="623"/>
    </row>
    <row r="100" spans="1:13" ht="32.25" customHeight="1" outlineLevel="1" x14ac:dyDescent="0.25">
      <c r="A100" s="621" t="s">
        <v>22</v>
      </c>
      <c r="B100" s="618" t="s">
        <v>1188</v>
      </c>
      <c r="C100" s="358" t="s">
        <v>3</v>
      </c>
      <c r="D100" s="213">
        <f>SUM(D101:D103)</f>
        <v>2226779.7473177193</v>
      </c>
      <c r="E100" s="213">
        <f>SUM(E101:E103)</f>
        <v>1921655.6333999999</v>
      </c>
      <c r="F100" s="214">
        <f t="shared" si="10"/>
        <v>0.86297517108045441</v>
      </c>
      <c r="G100" s="599">
        <f>SUM(H100:J103)</f>
        <v>56</v>
      </c>
      <c r="H100" s="599">
        <v>50</v>
      </c>
      <c r="I100" s="599">
        <v>3</v>
      </c>
      <c r="J100" s="599">
        <v>3</v>
      </c>
      <c r="K100" s="602">
        <f>(H100+0.5*I100)/G100</f>
        <v>0.9196428571428571</v>
      </c>
      <c r="L100" s="645" t="s">
        <v>1185</v>
      </c>
      <c r="M100" s="678" t="s">
        <v>1576</v>
      </c>
    </row>
    <row r="101" spans="1:13" ht="32.25" customHeight="1" outlineLevel="1" x14ac:dyDescent="0.25">
      <c r="A101" s="622"/>
      <c r="B101" s="619"/>
      <c r="C101" s="358" t="s">
        <v>4</v>
      </c>
      <c r="D101" s="213">
        <v>1560754.7853399999</v>
      </c>
      <c r="E101" s="213">
        <v>1437810.4665899999</v>
      </c>
      <c r="F101" s="214">
        <f t="shared" si="10"/>
        <v>0.92122765222006509</v>
      </c>
      <c r="G101" s="600"/>
      <c r="H101" s="600"/>
      <c r="I101" s="600"/>
      <c r="J101" s="600"/>
      <c r="K101" s="603"/>
      <c r="L101" s="646"/>
      <c r="M101" s="679"/>
    </row>
    <row r="102" spans="1:13" ht="32.25" customHeight="1" outlineLevel="1" x14ac:dyDescent="0.25">
      <c r="A102" s="622"/>
      <c r="B102" s="619"/>
      <c r="C102" s="358" t="s">
        <v>5</v>
      </c>
      <c r="D102" s="213">
        <v>362832.36800000002</v>
      </c>
      <c r="E102" s="213">
        <v>187780.91381</v>
      </c>
      <c r="F102" s="214">
        <f>E102/D102</f>
        <v>0.51754179166837722</v>
      </c>
      <c r="G102" s="600"/>
      <c r="H102" s="600"/>
      <c r="I102" s="600"/>
      <c r="J102" s="600"/>
      <c r="K102" s="603"/>
      <c r="L102" s="646"/>
      <c r="M102" s="679"/>
    </row>
    <row r="103" spans="1:13" ht="32.25" customHeight="1" outlineLevel="1" x14ac:dyDescent="0.25">
      <c r="A103" s="623"/>
      <c r="B103" s="620"/>
      <c r="C103" s="358" t="s">
        <v>6</v>
      </c>
      <c r="D103" s="213">
        <v>303192.59397771931</v>
      </c>
      <c r="E103" s="213">
        <v>296064.25300000003</v>
      </c>
      <c r="F103" s="214">
        <f>E103/D103</f>
        <v>0.97648906629215648</v>
      </c>
      <c r="G103" s="601"/>
      <c r="H103" s="601"/>
      <c r="I103" s="601"/>
      <c r="J103" s="601"/>
      <c r="K103" s="604"/>
      <c r="L103" s="677"/>
      <c r="M103" s="680"/>
    </row>
    <row r="104" spans="1:13" ht="26.25" customHeight="1" outlineLevel="1" x14ac:dyDescent="0.25">
      <c r="A104" s="621" t="s">
        <v>23</v>
      </c>
      <c r="B104" s="618" t="s">
        <v>191</v>
      </c>
      <c r="C104" s="358" t="s">
        <v>3</v>
      </c>
      <c r="D104" s="213">
        <f>SUM(D105:D106)</f>
        <v>278330.04793</v>
      </c>
      <c r="E104" s="213">
        <f>SUM(E105:E106)</f>
        <v>275847.38003</v>
      </c>
      <c r="F104" s="214">
        <f t="shared" si="10"/>
        <v>0.9910801298010613</v>
      </c>
      <c r="G104" s="599">
        <f>SUM(H104:J106)</f>
        <v>6</v>
      </c>
      <c r="H104" s="599">
        <v>6</v>
      </c>
      <c r="I104" s="599">
        <v>0</v>
      </c>
      <c r="J104" s="599">
        <v>0</v>
      </c>
      <c r="K104" s="602">
        <f>(H104+0.5*I104)/G104</f>
        <v>1</v>
      </c>
      <c r="L104" s="618" t="s">
        <v>1113</v>
      </c>
      <c r="M104" s="621" t="s">
        <v>41</v>
      </c>
    </row>
    <row r="105" spans="1:13" ht="26.25" customHeight="1" outlineLevel="1" x14ac:dyDescent="0.25">
      <c r="A105" s="622"/>
      <c r="B105" s="619"/>
      <c r="C105" s="358" t="s">
        <v>4</v>
      </c>
      <c r="D105" s="213">
        <v>278047.44793000002</v>
      </c>
      <c r="E105" s="213">
        <v>275564.78003000002</v>
      </c>
      <c r="F105" s="214">
        <f t="shared" si="10"/>
        <v>0.99107106388322241</v>
      </c>
      <c r="G105" s="600"/>
      <c r="H105" s="600"/>
      <c r="I105" s="600"/>
      <c r="J105" s="600"/>
      <c r="K105" s="603"/>
      <c r="L105" s="619"/>
      <c r="M105" s="622"/>
    </row>
    <row r="106" spans="1:13" ht="26.25" customHeight="1" outlineLevel="1" x14ac:dyDescent="0.25">
      <c r="A106" s="622"/>
      <c r="B106" s="619"/>
      <c r="C106" s="358" t="s">
        <v>5</v>
      </c>
      <c r="D106" s="213">
        <v>282.60000000000002</v>
      </c>
      <c r="E106" s="213">
        <v>282.60000000000002</v>
      </c>
      <c r="F106" s="214">
        <f t="shared" si="10"/>
        <v>1</v>
      </c>
      <c r="G106" s="600"/>
      <c r="H106" s="600"/>
      <c r="I106" s="600"/>
      <c r="J106" s="600"/>
      <c r="K106" s="603"/>
      <c r="L106" s="619"/>
      <c r="M106" s="622"/>
    </row>
    <row r="107" spans="1:13" ht="21.75" customHeight="1" x14ac:dyDescent="0.25">
      <c r="A107" s="624" t="s">
        <v>45</v>
      </c>
      <c r="B107" s="627" t="s">
        <v>1085</v>
      </c>
      <c r="C107" s="189" t="s">
        <v>3</v>
      </c>
      <c r="D107" s="190">
        <f>SUM(D108:D110)</f>
        <v>1116753.2510000002</v>
      </c>
      <c r="E107" s="190">
        <f>SUM(E108:E110)</f>
        <v>1150282.69291</v>
      </c>
      <c r="F107" s="504">
        <f t="shared" si="10"/>
        <v>1.0300240378794292</v>
      </c>
      <c r="G107" s="630">
        <f>SUM(G111:G119)</f>
        <v>20</v>
      </c>
      <c r="H107" s="630">
        <f>SUM(H111:H119)</f>
        <v>15</v>
      </c>
      <c r="I107" s="630">
        <f>SUM(I111:I119)</f>
        <v>5</v>
      </c>
      <c r="J107" s="630">
        <f>SUM(J111:J119)</f>
        <v>0</v>
      </c>
      <c r="K107" s="633">
        <f>(H107+I107/2)/G107</f>
        <v>0.875</v>
      </c>
      <c r="L107" s="674" t="s">
        <v>1421</v>
      </c>
      <c r="M107" s="639"/>
    </row>
    <row r="108" spans="1:13" ht="21.75" customHeight="1" x14ac:dyDescent="0.25">
      <c r="A108" s="625"/>
      <c r="B108" s="628"/>
      <c r="C108" s="192" t="s">
        <v>4</v>
      </c>
      <c r="D108" s="193">
        <f>D112+D115+D118</f>
        <v>653890.45100000012</v>
      </c>
      <c r="E108" s="193">
        <f>E112+E115+E118</f>
        <v>635793.2803000001</v>
      </c>
      <c r="F108" s="503">
        <f t="shared" si="10"/>
        <v>0.97232384924367088</v>
      </c>
      <c r="G108" s="631"/>
      <c r="H108" s="631"/>
      <c r="I108" s="631"/>
      <c r="J108" s="631"/>
      <c r="K108" s="634"/>
      <c r="L108" s="675"/>
      <c r="M108" s="640"/>
    </row>
    <row r="109" spans="1:13" ht="21.75" customHeight="1" x14ac:dyDescent="0.25">
      <c r="A109" s="625"/>
      <c r="B109" s="628"/>
      <c r="C109" s="192" t="s">
        <v>5</v>
      </c>
      <c r="D109" s="193">
        <f>D113+D116</f>
        <v>412862.80000000005</v>
      </c>
      <c r="E109" s="193">
        <f>E113+E116</f>
        <v>408634.44260999997</v>
      </c>
      <c r="F109" s="503">
        <f t="shared" si="10"/>
        <v>0.98975844423377435</v>
      </c>
      <c r="G109" s="631"/>
      <c r="H109" s="631"/>
      <c r="I109" s="631"/>
      <c r="J109" s="631"/>
      <c r="K109" s="634"/>
      <c r="L109" s="675"/>
      <c r="M109" s="640"/>
    </row>
    <row r="110" spans="1:13" ht="21.75" customHeight="1" x14ac:dyDescent="0.25">
      <c r="A110" s="626"/>
      <c r="B110" s="629"/>
      <c r="C110" s="192" t="s">
        <v>7</v>
      </c>
      <c r="D110" s="193">
        <f>SUM(D119)</f>
        <v>50000</v>
      </c>
      <c r="E110" s="193">
        <f>SUM(E119)</f>
        <v>105854.97</v>
      </c>
      <c r="F110" s="503">
        <f t="shared" si="10"/>
        <v>2.1170993999999999</v>
      </c>
      <c r="G110" s="632"/>
      <c r="H110" s="632"/>
      <c r="I110" s="632"/>
      <c r="J110" s="632"/>
      <c r="K110" s="635"/>
      <c r="L110" s="676"/>
      <c r="M110" s="641"/>
    </row>
    <row r="111" spans="1:13" s="233" customFormat="1" ht="21.75" customHeight="1" outlineLevel="1" x14ac:dyDescent="0.25">
      <c r="A111" s="621" t="s">
        <v>24</v>
      </c>
      <c r="B111" s="618" t="s">
        <v>1123</v>
      </c>
      <c r="C111" s="358" t="s">
        <v>3</v>
      </c>
      <c r="D111" s="232">
        <f>SUM(D112:D113)</f>
        <v>1064246.1500000001</v>
      </c>
      <c r="E111" s="232">
        <f>SUM(E112:E113)</f>
        <v>1042248.24921</v>
      </c>
      <c r="F111" s="214">
        <f>E111/D111</f>
        <v>0.97933006307798243</v>
      </c>
      <c r="G111" s="599">
        <f>SUM(H111:J113)</f>
        <v>14</v>
      </c>
      <c r="H111" s="599">
        <v>10</v>
      </c>
      <c r="I111" s="599">
        <v>4</v>
      </c>
      <c r="J111" s="599">
        <v>0</v>
      </c>
      <c r="K111" s="602">
        <f>(H111+0.5*I111)/G111</f>
        <v>0.8571428571428571</v>
      </c>
      <c r="L111" s="618" t="s">
        <v>1418</v>
      </c>
      <c r="M111" s="618" t="s">
        <v>1419</v>
      </c>
    </row>
    <row r="112" spans="1:13" s="233" customFormat="1" ht="21.75" customHeight="1" outlineLevel="1" x14ac:dyDescent="0.25">
      <c r="A112" s="622"/>
      <c r="B112" s="619"/>
      <c r="C112" s="358" t="s">
        <v>4</v>
      </c>
      <c r="D112" s="232">
        <v>652668.45000000007</v>
      </c>
      <c r="E112" s="232">
        <v>634713.28044</v>
      </c>
      <c r="F112" s="214">
        <f>E112/D112</f>
        <v>0.97248960086855729</v>
      </c>
      <c r="G112" s="600"/>
      <c r="H112" s="600"/>
      <c r="I112" s="600"/>
      <c r="J112" s="600"/>
      <c r="K112" s="603"/>
      <c r="L112" s="619"/>
      <c r="M112" s="619"/>
    </row>
    <row r="113" spans="1:13" s="233" customFormat="1" ht="21.75" customHeight="1" outlineLevel="1" x14ac:dyDescent="0.25">
      <c r="A113" s="623"/>
      <c r="B113" s="620"/>
      <c r="C113" s="358" t="s">
        <v>5</v>
      </c>
      <c r="D113" s="232">
        <v>411577.70000000007</v>
      </c>
      <c r="E113" s="232">
        <v>407534.96876999998</v>
      </c>
      <c r="F113" s="214">
        <f>E113/D113</f>
        <v>0.99017747747266172</v>
      </c>
      <c r="G113" s="601"/>
      <c r="H113" s="601"/>
      <c r="I113" s="601"/>
      <c r="J113" s="601"/>
      <c r="K113" s="604"/>
      <c r="L113" s="620"/>
      <c r="M113" s="620"/>
    </row>
    <row r="114" spans="1:13" s="233" customFormat="1" ht="24" customHeight="1" outlineLevel="1" x14ac:dyDescent="0.25">
      <c r="A114" s="621" t="s">
        <v>25</v>
      </c>
      <c r="B114" s="618" t="s">
        <v>1124</v>
      </c>
      <c r="C114" s="358" t="s">
        <v>3</v>
      </c>
      <c r="D114" s="232">
        <f>SUM(D115:D116)</f>
        <v>2307.1010000000001</v>
      </c>
      <c r="E114" s="232">
        <f>SUM(E115:E116)</f>
        <v>1979.5047</v>
      </c>
      <c r="F114" s="214">
        <f t="shared" si="10"/>
        <v>0.85800521953741937</v>
      </c>
      <c r="G114" s="599">
        <f>SUM(H114:J116)</f>
        <v>2</v>
      </c>
      <c r="H114" s="599">
        <v>1</v>
      </c>
      <c r="I114" s="599">
        <v>1</v>
      </c>
      <c r="J114" s="599">
        <v>0</v>
      </c>
      <c r="K114" s="602">
        <f>(H114+0.5*I114)/G114</f>
        <v>0.75</v>
      </c>
      <c r="L114" s="618" t="s">
        <v>1121</v>
      </c>
      <c r="M114" s="618" t="s">
        <v>1420</v>
      </c>
    </row>
    <row r="115" spans="1:13" s="233" customFormat="1" ht="24" customHeight="1" outlineLevel="1" x14ac:dyDescent="0.25">
      <c r="A115" s="622"/>
      <c r="B115" s="619"/>
      <c r="C115" s="358" t="s">
        <v>4</v>
      </c>
      <c r="D115" s="232">
        <v>1022.001</v>
      </c>
      <c r="E115" s="232">
        <v>880.03085999999996</v>
      </c>
      <c r="F115" s="214">
        <f t="shared" si="10"/>
        <v>0.86108610461242208</v>
      </c>
      <c r="G115" s="600"/>
      <c r="H115" s="600"/>
      <c r="I115" s="600"/>
      <c r="J115" s="600"/>
      <c r="K115" s="603"/>
      <c r="L115" s="619"/>
      <c r="M115" s="619"/>
    </row>
    <row r="116" spans="1:13" s="233" customFormat="1" ht="15.75" outlineLevel="1" x14ac:dyDescent="0.25">
      <c r="A116" s="623"/>
      <c r="B116" s="620"/>
      <c r="C116" s="358" t="s">
        <v>5</v>
      </c>
      <c r="D116" s="232">
        <v>1285.1000000000001</v>
      </c>
      <c r="E116" s="232">
        <v>1099.4738400000001</v>
      </c>
      <c r="F116" s="214">
        <f t="shared" si="10"/>
        <v>0.85555508520737689</v>
      </c>
      <c r="G116" s="601"/>
      <c r="H116" s="601"/>
      <c r="I116" s="601"/>
      <c r="J116" s="601"/>
      <c r="K116" s="604"/>
      <c r="L116" s="620"/>
      <c r="M116" s="620"/>
    </row>
    <row r="117" spans="1:13" s="233" customFormat="1" ht="21.75" customHeight="1" outlineLevel="1" x14ac:dyDescent="0.25">
      <c r="A117" s="621" t="s">
        <v>26</v>
      </c>
      <c r="B117" s="618" t="s">
        <v>1125</v>
      </c>
      <c r="C117" s="358" t="s">
        <v>3</v>
      </c>
      <c r="D117" s="232">
        <f>SUM(D118:D119)</f>
        <v>50200</v>
      </c>
      <c r="E117" s="232">
        <f>SUM(E118:E119)</f>
        <v>106054.939</v>
      </c>
      <c r="F117" s="214">
        <f t="shared" si="10"/>
        <v>2.1126481872509961</v>
      </c>
      <c r="G117" s="599">
        <f>SUM(H117:J119)</f>
        <v>4</v>
      </c>
      <c r="H117" s="599">
        <v>4</v>
      </c>
      <c r="I117" s="599">
        <v>0</v>
      </c>
      <c r="J117" s="599">
        <v>0</v>
      </c>
      <c r="K117" s="602">
        <f>(H117+0.5*I117)/G117</f>
        <v>1</v>
      </c>
      <c r="L117" s="618" t="s">
        <v>1122</v>
      </c>
      <c r="M117" s="645" t="s">
        <v>1422</v>
      </c>
    </row>
    <row r="118" spans="1:13" s="233" customFormat="1" ht="21.75" customHeight="1" outlineLevel="1" x14ac:dyDescent="0.25">
      <c r="A118" s="622"/>
      <c r="B118" s="619"/>
      <c r="C118" s="358" t="s">
        <v>4</v>
      </c>
      <c r="D118" s="232">
        <v>200</v>
      </c>
      <c r="E118" s="232">
        <v>199.96899999999999</v>
      </c>
      <c r="F118" s="214">
        <f t="shared" si="10"/>
        <v>0.99984499999999998</v>
      </c>
      <c r="G118" s="600"/>
      <c r="H118" s="600"/>
      <c r="I118" s="600"/>
      <c r="J118" s="600"/>
      <c r="K118" s="603"/>
      <c r="L118" s="619"/>
      <c r="M118" s="646"/>
    </row>
    <row r="119" spans="1:13" s="233" customFormat="1" ht="21.75" customHeight="1" outlineLevel="1" x14ac:dyDescent="0.25">
      <c r="A119" s="623"/>
      <c r="B119" s="620"/>
      <c r="C119" s="358" t="s">
        <v>7</v>
      </c>
      <c r="D119" s="232">
        <v>50000</v>
      </c>
      <c r="E119" s="232">
        <v>105854.97</v>
      </c>
      <c r="F119" s="214">
        <f t="shared" si="10"/>
        <v>2.1170993999999999</v>
      </c>
      <c r="G119" s="601"/>
      <c r="H119" s="601"/>
      <c r="I119" s="601"/>
      <c r="J119" s="601"/>
      <c r="K119" s="604"/>
      <c r="L119" s="620"/>
      <c r="M119" s="677"/>
    </row>
    <row r="120" spans="1:13" ht="22.5" customHeight="1" x14ac:dyDescent="0.25">
      <c r="A120" s="624" t="s">
        <v>27</v>
      </c>
      <c r="B120" s="642" t="s">
        <v>1086</v>
      </c>
      <c r="C120" s="189" t="s">
        <v>3</v>
      </c>
      <c r="D120" s="190">
        <f>SUM(D121:D124)</f>
        <v>23423920.884822998</v>
      </c>
      <c r="E120" s="190">
        <f>SUM(E121:E124)</f>
        <v>20678720.302949999</v>
      </c>
      <c r="F120" s="504">
        <f t="shared" si="10"/>
        <v>0.88280354107361714</v>
      </c>
      <c r="G120" s="630">
        <f>SUM(G125:G145)</f>
        <v>83</v>
      </c>
      <c r="H120" s="630">
        <f>SUM(H125:H145)</f>
        <v>54</v>
      </c>
      <c r="I120" s="630">
        <f>SUM(I125:I145)</f>
        <v>17</v>
      </c>
      <c r="J120" s="630">
        <f>SUM(J125:J145)</f>
        <v>12</v>
      </c>
      <c r="K120" s="633">
        <f>(H120+I120/2)/G120</f>
        <v>0.75301204819277112</v>
      </c>
      <c r="L120" s="674" t="s">
        <v>1182</v>
      </c>
      <c r="M120" s="639"/>
    </row>
    <row r="121" spans="1:13" ht="22.5" customHeight="1" x14ac:dyDescent="0.25">
      <c r="A121" s="625"/>
      <c r="B121" s="643"/>
      <c r="C121" s="192" t="s">
        <v>4</v>
      </c>
      <c r="D121" s="193">
        <f>D126+D131+D136+D140+D145</f>
        <v>16092646.027043</v>
      </c>
      <c r="E121" s="193">
        <f>E126+E131+E136+E140+E145</f>
        <v>14507641.881139999</v>
      </c>
      <c r="F121" s="503">
        <f t="shared" si="10"/>
        <v>0.90150754927191779</v>
      </c>
      <c r="G121" s="631"/>
      <c r="H121" s="631"/>
      <c r="I121" s="631"/>
      <c r="J121" s="631"/>
      <c r="K121" s="634"/>
      <c r="L121" s="675"/>
      <c r="M121" s="640"/>
    </row>
    <row r="122" spans="1:13" ht="22.5" customHeight="1" x14ac:dyDescent="0.25">
      <c r="A122" s="625"/>
      <c r="B122" s="643"/>
      <c r="C122" s="192" t="s">
        <v>5</v>
      </c>
      <c r="D122" s="193">
        <f>D127+D132+D137+D141</f>
        <v>5835933.1890299991</v>
      </c>
      <c r="E122" s="193">
        <f>E127+E132+E137+E141</f>
        <v>5315147.8684899993</v>
      </c>
      <c r="F122" s="503">
        <f t="shared" si="10"/>
        <v>0.9107622887940291</v>
      </c>
      <c r="G122" s="631"/>
      <c r="H122" s="631"/>
      <c r="I122" s="631"/>
      <c r="J122" s="631"/>
      <c r="K122" s="634"/>
      <c r="L122" s="675"/>
      <c r="M122" s="640"/>
    </row>
    <row r="123" spans="1:13" ht="22.5" customHeight="1" x14ac:dyDescent="0.25">
      <c r="A123" s="625"/>
      <c r="B123" s="643"/>
      <c r="C123" s="192" t="s">
        <v>6</v>
      </c>
      <c r="D123" s="193">
        <f>D128+D133+D138+D142</f>
        <v>1277032.16875</v>
      </c>
      <c r="E123" s="193">
        <f>E128+E133+E138+E142</f>
        <v>651654.95332000009</v>
      </c>
      <c r="F123" s="503">
        <f t="shared" si="10"/>
        <v>0.51028859669045057</v>
      </c>
      <c r="G123" s="631"/>
      <c r="H123" s="631"/>
      <c r="I123" s="631"/>
      <c r="J123" s="631"/>
      <c r="K123" s="634"/>
      <c r="L123" s="675"/>
      <c r="M123" s="640"/>
    </row>
    <row r="124" spans="1:13" ht="22.5" customHeight="1" x14ac:dyDescent="0.25">
      <c r="A124" s="626"/>
      <c r="B124" s="644"/>
      <c r="C124" s="192" t="s">
        <v>7</v>
      </c>
      <c r="D124" s="193">
        <f>D129+D134+D143</f>
        <v>218309.5</v>
      </c>
      <c r="E124" s="193">
        <f>E129+E143</f>
        <v>204275.6</v>
      </c>
      <c r="F124" s="503">
        <f t="shared" si="10"/>
        <v>0.93571557811272532</v>
      </c>
      <c r="G124" s="632"/>
      <c r="H124" s="632"/>
      <c r="I124" s="632"/>
      <c r="J124" s="632"/>
      <c r="K124" s="635"/>
      <c r="L124" s="676"/>
      <c r="M124" s="641"/>
    </row>
    <row r="125" spans="1:13" ht="27.75" customHeight="1" outlineLevel="1" x14ac:dyDescent="0.25">
      <c r="A125" s="621" t="s">
        <v>28</v>
      </c>
      <c r="B125" s="618" t="s">
        <v>1173</v>
      </c>
      <c r="C125" s="358" t="s">
        <v>3</v>
      </c>
      <c r="D125" s="213">
        <f>SUM(D126:D129)</f>
        <v>3342818.0844500004</v>
      </c>
      <c r="E125" s="213">
        <f>SUM(E126:E129)</f>
        <v>2911778.2533199997</v>
      </c>
      <c r="F125" s="214">
        <f t="shared" si="10"/>
        <v>0.87105495416125212</v>
      </c>
      <c r="G125" s="599">
        <f>SUM(H125:J129)</f>
        <v>27</v>
      </c>
      <c r="H125" s="599">
        <v>18</v>
      </c>
      <c r="I125" s="599">
        <v>6</v>
      </c>
      <c r="J125" s="599">
        <v>3</v>
      </c>
      <c r="K125" s="602">
        <f>(H125+I125/2)/G125</f>
        <v>0.77777777777777779</v>
      </c>
      <c r="L125" s="618" t="s">
        <v>1181</v>
      </c>
      <c r="M125" s="618" t="s">
        <v>1881</v>
      </c>
    </row>
    <row r="126" spans="1:13" ht="27.75" customHeight="1" outlineLevel="1" x14ac:dyDescent="0.25">
      <c r="A126" s="622"/>
      <c r="B126" s="619"/>
      <c r="C126" s="358" t="s">
        <v>4</v>
      </c>
      <c r="D126" s="213">
        <v>2796713.3954200004</v>
      </c>
      <c r="E126" s="213">
        <v>2364466.8642899999</v>
      </c>
      <c r="F126" s="214">
        <f t="shared" si="10"/>
        <v>0.84544482397164356</v>
      </c>
      <c r="G126" s="600"/>
      <c r="H126" s="600"/>
      <c r="I126" s="600"/>
      <c r="J126" s="600"/>
      <c r="K126" s="603"/>
      <c r="L126" s="619"/>
      <c r="M126" s="619"/>
    </row>
    <row r="127" spans="1:13" ht="34.5" customHeight="1" outlineLevel="1" x14ac:dyDescent="0.25">
      <c r="A127" s="622"/>
      <c r="B127" s="619"/>
      <c r="C127" s="358" t="s">
        <v>5</v>
      </c>
      <c r="D127" s="213">
        <v>140034.08903</v>
      </c>
      <c r="E127" s="213">
        <v>139584.18903000001</v>
      </c>
      <c r="F127" s="214">
        <f t="shared" si="10"/>
        <v>0.99678721086332334</v>
      </c>
      <c r="G127" s="600"/>
      <c r="H127" s="600"/>
      <c r="I127" s="600"/>
      <c r="J127" s="600"/>
      <c r="K127" s="603"/>
      <c r="L127" s="619"/>
      <c r="M127" s="619"/>
    </row>
    <row r="128" spans="1:13" ht="27.75" customHeight="1" outlineLevel="1" x14ac:dyDescent="0.25">
      <c r="A128" s="622"/>
      <c r="B128" s="619"/>
      <c r="C128" s="358" t="s">
        <v>6</v>
      </c>
      <c r="D128" s="213">
        <v>219561.2</v>
      </c>
      <c r="E128" s="213">
        <v>221217.8</v>
      </c>
      <c r="F128" s="214">
        <f t="shared" si="10"/>
        <v>1.0075450489430737</v>
      </c>
      <c r="G128" s="600"/>
      <c r="H128" s="600"/>
      <c r="I128" s="600"/>
      <c r="J128" s="600"/>
      <c r="K128" s="603"/>
      <c r="L128" s="619"/>
      <c r="M128" s="619"/>
    </row>
    <row r="129" spans="1:13" ht="27.75" customHeight="1" outlineLevel="1" x14ac:dyDescent="0.25">
      <c r="A129" s="623"/>
      <c r="B129" s="620"/>
      <c r="C129" s="358" t="s">
        <v>7</v>
      </c>
      <c r="D129" s="213">
        <v>186509.4</v>
      </c>
      <c r="E129" s="213">
        <v>186509.4</v>
      </c>
      <c r="F129" s="214">
        <f t="shared" si="10"/>
        <v>1</v>
      </c>
      <c r="G129" s="601"/>
      <c r="H129" s="601"/>
      <c r="I129" s="601"/>
      <c r="J129" s="601"/>
      <c r="K129" s="604"/>
      <c r="L129" s="620"/>
      <c r="M129" s="620"/>
    </row>
    <row r="130" spans="1:13" ht="33" customHeight="1" outlineLevel="1" x14ac:dyDescent="0.25">
      <c r="A130" s="621" t="s">
        <v>29</v>
      </c>
      <c r="B130" s="618" t="s">
        <v>1175</v>
      </c>
      <c r="C130" s="358" t="s">
        <v>3</v>
      </c>
      <c r="D130" s="213">
        <f>SUM(D131:D134)</f>
        <v>3224762.0370400003</v>
      </c>
      <c r="E130" s="213">
        <f>SUM(E131:E134)</f>
        <v>2234715.3687300002</v>
      </c>
      <c r="F130" s="214">
        <f t="shared" si="10"/>
        <v>0.69298613139878029</v>
      </c>
      <c r="G130" s="599">
        <f>SUM(H130:J134)</f>
        <v>21</v>
      </c>
      <c r="H130" s="599">
        <v>14</v>
      </c>
      <c r="I130" s="599">
        <v>3</v>
      </c>
      <c r="J130" s="599">
        <v>4</v>
      </c>
      <c r="K130" s="602">
        <f>(H130+I130/2)/G130</f>
        <v>0.73809523809523814</v>
      </c>
      <c r="L130" s="618" t="s">
        <v>1174</v>
      </c>
      <c r="M130" s="618" t="s">
        <v>1882</v>
      </c>
    </row>
    <row r="131" spans="1:13" ht="30" customHeight="1" outlineLevel="1" x14ac:dyDescent="0.25">
      <c r="A131" s="622"/>
      <c r="B131" s="619"/>
      <c r="C131" s="358" t="s">
        <v>4</v>
      </c>
      <c r="D131" s="213">
        <v>1739989.8682900001</v>
      </c>
      <c r="E131" s="213">
        <v>1321276.41937</v>
      </c>
      <c r="F131" s="214">
        <f t="shared" si="10"/>
        <v>0.75935868561608533</v>
      </c>
      <c r="G131" s="600"/>
      <c r="H131" s="600"/>
      <c r="I131" s="600"/>
      <c r="J131" s="600"/>
      <c r="K131" s="603"/>
      <c r="L131" s="619"/>
      <c r="M131" s="619"/>
    </row>
    <row r="132" spans="1:13" ht="30" customHeight="1" outlineLevel="1" x14ac:dyDescent="0.25">
      <c r="A132" s="622"/>
      <c r="B132" s="619"/>
      <c r="C132" s="467" t="s">
        <v>5</v>
      </c>
      <c r="D132" s="213">
        <v>636202.1</v>
      </c>
      <c r="E132" s="213">
        <v>624352.09603999997</v>
      </c>
      <c r="F132" s="214">
        <f t="shared" ref="F132" si="11">E132/D132</f>
        <v>0.98137383708730297</v>
      </c>
      <c r="G132" s="600"/>
      <c r="H132" s="600"/>
      <c r="I132" s="600"/>
      <c r="J132" s="600"/>
      <c r="K132" s="603"/>
      <c r="L132" s="619"/>
      <c r="M132" s="619"/>
    </row>
    <row r="133" spans="1:13" ht="30" customHeight="1" outlineLevel="1" x14ac:dyDescent="0.25">
      <c r="A133" s="622"/>
      <c r="B133" s="619"/>
      <c r="C133" s="358" t="s">
        <v>6</v>
      </c>
      <c r="D133" s="213">
        <v>834536.16875000007</v>
      </c>
      <c r="E133" s="213">
        <v>289086.85331999999</v>
      </c>
      <c r="F133" s="214">
        <f t="shared" si="10"/>
        <v>0.34640422326213283</v>
      </c>
      <c r="G133" s="600"/>
      <c r="H133" s="600"/>
      <c r="I133" s="600"/>
      <c r="J133" s="600"/>
      <c r="K133" s="603"/>
      <c r="L133" s="619"/>
      <c r="M133" s="619"/>
    </row>
    <row r="134" spans="1:13" ht="32.25" customHeight="1" outlineLevel="1" x14ac:dyDescent="0.25">
      <c r="A134" s="623"/>
      <c r="B134" s="620"/>
      <c r="C134" s="358" t="s">
        <v>7</v>
      </c>
      <c r="D134" s="213">
        <v>14033.9</v>
      </c>
      <c r="E134" s="213">
        <v>0</v>
      </c>
      <c r="F134" s="214">
        <f t="shared" si="10"/>
        <v>0</v>
      </c>
      <c r="G134" s="601"/>
      <c r="H134" s="601"/>
      <c r="I134" s="601"/>
      <c r="J134" s="601"/>
      <c r="K134" s="604"/>
      <c r="L134" s="620"/>
      <c r="M134" s="620"/>
    </row>
    <row r="135" spans="1:13" ht="32.25" customHeight="1" outlineLevel="1" x14ac:dyDescent="0.25">
      <c r="A135" s="649" t="s">
        <v>194</v>
      </c>
      <c r="B135" s="618" t="s">
        <v>1176</v>
      </c>
      <c r="C135" s="358" t="s">
        <v>3</v>
      </c>
      <c r="D135" s="213">
        <f>SUM(D136:D138)</f>
        <v>3464835.0520699997</v>
      </c>
      <c r="E135" s="213">
        <f>SUM(E136:E138)</f>
        <v>2614436.4057100001</v>
      </c>
      <c r="F135" s="214">
        <f t="shared" si="10"/>
        <v>0.75456302144832399</v>
      </c>
      <c r="G135" s="671">
        <f>SUM(H135:J135)</f>
        <v>13</v>
      </c>
      <c r="H135" s="671">
        <v>2</v>
      </c>
      <c r="I135" s="671">
        <v>8</v>
      </c>
      <c r="J135" s="663">
        <v>3</v>
      </c>
      <c r="K135" s="647">
        <f>(H135+I135/2)/G135</f>
        <v>0.46153846153846156</v>
      </c>
      <c r="L135" s="648" t="s">
        <v>1177</v>
      </c>
      <c r="M135" s="651" t="s">
        <v>1883</v>
      </c>
    </row>
    <row r="136" spans="1:13" ht="32.25" customHeight="1" outlineLevel="1" x14ac:dyDescent="0.25">
      <c r="A136" s="649"/>
      <c r="B136" s="619"/>
      <c r="C136" s="358" t="s">
        <v>4</v>
      </c>
      <c r="D136" s="213">
        <v>1247673.55207</v>
      </c>
      <c r="E136" s="213">
        <v>987669.72228999995</v>
      </c>
      <c r="F136" s="214">
        <f>E136/D136</f>
        <v>0.79160908769074179</v>
      </c>
      <c r="G136" s="672"/>
      <c r="H136" s="672"/>
      <c r="I136" s="672"/>
      <c r="J136" s="663"/>
      <c r="K136" s="647"/>
      <c r="L136" s="648"/>
      <c r="M136" s="652"/>
    </row>
    <row r="137" spans="1:13" ht="32.25" customHeight="1" outlineLevel="1" x14ac:dyDescent="0.25">
      <c r="A137" s="649"/>
      <c r="B137" s="619"/>
      <c r="C137" s="358" t="s">
        <v>5</v>
      </c>
      <c r="D137" s="213">
        <v>2005652.5999999999</v>
      </c>
      <c r="E137" s="213">
        <v>1497167.1834200001</v>
      </c>
      <c r="F137" s="214">
        <f t="shared" ref="F137:F138" si="12">E137/D137</f>
        <v>0.74647383271659318</v>
      </c>
      <c r="G137" s="672"/>
      <c r="H137" s="672"/>
      <c r="I137" s="672"/>
      <c r="J137" s="663"/>
      <c r="K137" s="647"/>
      <c r="L137" s="648"/>
      <c r="M137" s="652"/>
    </row>
    <row r="138" spans="1:13" ht="39" customHeight="1" outlineLevel="1" x14ac:dyDescent="0.25">
      <c r="A138" s="649"/>
      <c r="B138" s="620"/>
      <c r="C138" s="358" t="s">
        <v>6</v>
      </c>
      <c r="D138" s="213">
        <v>211508.9</v>
      </c>
      <c r="E138" s="213">
        <v>129599.50000000001</v>
      </c>
      <c r="F138" s="214">
        <f t="shared" si="12"/>
        <v>0.61273780914183762</v>
      </c>
      <c r="G138" s="673"/>
      <c r="H138" s="673"/>
      <c r="I138" s="673"/>
      <c r="J138" s="663"/>
      <c r="K138" s="647"/>
      <c r="L138" s="648"/>
      <c r="M138" s="655"/>
    </row>
    <row r="139" spans="1:13" ht="28.5" customHeight="1" outlineLevel="1" x14ac:dyDescent="0.25">
      <c r="A139" s="649" t="s">
        <v>195</v>
      </c>
      <c r="B139" s="648" t="s">
        <v>1884</v>
      </c>
      <c r="C139" s="358" t="s">
        <v>3</v>
      </c>
      <c r="D139" s="213">
        <f>SUM(D140:D143)</f>
        <v>13259826.307972999</v>
      </c>
      <c r="E139" s="213">
        <f>SUM(E140:E143)</f>
        <v>12791034.94819</v>
      </c>
      <c r="F139" s="214">
        <f>E139/D139</f>
        <v>0.96464573902441542</v>
      </c>
      <c r="G139" s="663">
        <f>SUM(H139:J139)</f>
        <v>21</v>
      </c>
      <c r="H139" s="663">
        <v>19</v>
      </c>
      <c r="I139" s="663">
        <v>0</v>
      </c>
      <c r="J139" s="663">
        <v>2</v>
      </c>
      <c r="K139" s="647">
        <f>(H139+I139/2)/G139</f>
        <v>0.90476190476190477</v>
      </c>
      <c r="L139" s="657" t="s">
        <v>1178</v>
      </c>
      <c r="M139" s="618" t="s">
        <v>1788</v>
      </c>
    </row>
    <row r="140" spans="1:13" ht="28.5" customHeight="1" outlineLevel="1" x14ac:dyDescent="0.25">
      <c r="A140" s="649"/>
      <c r="B140" s="648"/>
      <c r="C140" s="358" t="s">
        <v>4</v>
      </c>
      <c r="D140" s="213">
        <v>10176589.807972999</v>
      </c>
      <c r="E140" s="213">
        <v>9707473.5481899995</v>
      </c>
      <c r="F140" s="214">
        <f>E140/D140</f>
        <v>0.9539024104700119</v>
      </c>
      <c r="G140" s="663"/>
      <c r="H140" s="663"/>
      <c r="I140" s="663"/>
      <c r="J140" s="663"/>
      <c r="K140" s="647"/>
      <c r="L140" s="658"/>
      <c r="M140" s="619"/>
    </row>
    <row r="141" spans="1:13" ht="28.5" customHeight="1" outlineLevel="1" x14ac:dyDescent="0.25">
      <c r="A141" s="649"/>
      <c r="B141" s="648"/>
      <c r="C141" s="358" t="s">
        <v>5</v>
      </c>
      <c r="D141" s="213">
        <v>3054044.4</v>
      </c>
      <c r="E141" s="213">
        <v>3054044.4</v>
      </c>
      <c r="F141" s="214">
        <f t="shared" ref="F141:F143" si="13">E141/D141</f>
        <v>1</v>
      </c>
      <c r="G141" s="663"/>
      <c r="H141" s="663"/>
      <c r="I141" s="663"/>
      <c r="J141" s="663"/>
      <c r="K141" s="647"/>
      <c r="L141" s="658"/>
      <c r="M141" s="619"/>
    </row>
    <row r="142" spans="1:13" ht="28.5" customHeight="1" outlineLevel="1" x14ac:dyDescent="0.25">
      <c r="A142" s="649"/>
      <c r="B142" s="648"/>
      <c r="C142" s="467" t="s">
        <v>6</v>
      </c>
      <c r="D142" s="213">
        <v>11425.9</v>
      </c>
      <c r="E142" s="213">
        <v>11750.8</v>
      </c>
      <c r="F142" s="214">
        <f t="shared" ref="F142" si="14">E142/D142</f>
        <v>1.0284353967739959</v>
      </c>
      <c r="G142" s="663"/>
      <c r="H142" s="663"/>
      <c r="I142" s="663"/>
      <c r="J142" s="663"/>
      <c r="K142" s="647"/>
      <c r="L142" s="658"/>
      <c r="M142" s="619"/>
    </row>
    <row r="143" spans="1:13" ht="28.5" customHeight="1" outlineLevel="1" x14ac:dyDescent="0.25">
      <c r="A143" s="649"/>
      <c r="B143" s="648"/>
      <c r="C143" s="358" t="s">
        <v>7</v>
      </c>
      <c r="D143" s="213">
        <v>17766.2</v>
      </c>
      <c r="E143" s="213">
        <v>17766.2</v>
      </c>
      <c r="F143" s="214">
        <f t="shared" si="13"/>
        <v>1</v>
      </c>
      <c r="G143" s="663"/>
      <c r="H143" s="663"/>
      <c r="I143" s="663"/>
      <c r="J143" s="663"/>
      <c r="K143" s="647"/>
      <c r="L143" s="670"/>
      <c r="M143" s="619"/>
    </row>
    <row r="144" spans="1:13" s="233" customFormat="1" ht="30" customHeight="1" outlineLevel="1" x14ac:dyDescent="0.25">
      <c r="A144" s="621" t="s">
        <v>196</v>
      </c>
      <c r="B144" s="618" t="s">
        <v>1179</v>
      </c>
      <c r="C144" s="358" t="s">
        <v>3</v>
      </c>
      <c r="D144" s="213">
        <f>SUM(D145:D145)</f>
        <v>131679.40328999999</v>
      </c>
      <c r="E144" s="213">
        <f>SUM(E145:E145)</f>
        <v>126755.327</v>
      </c>
      <c r="F144" s="214">
        <f t="shared" si="10"/>
        <v>0.96260556953500465</v>
      </c>
      <c r="G144" s="599">
        <f>SUM(H144:J145)</f>
        <v>1</v>
      </c>
      <c r="H144" s="599">
        <v>1</v>
      </c>
      <c r="I144" s="599">
        <v>0</v>
      </c>
      <c r="J144" s="599">
        <v>0</v>
      </c>
      <c r="K144" s="602">
        <f>(H144+I144/2)/G144</f>
        <v>1</v>
      </c>
      <c r="L144" s="618" t="s">
        <v>1180</v>
      </c>
      <c r="M144" s="621" t="s">
        <v>41</v>
      </c>
    </row>
    <row r="145" spans="1:13" s="233" customFormat="1" ht="30" customHeight="1" outlineLevel="1" x14ac:dyDescent="0.25">
      <c r="A145" s="622"/>
      <c r="B145" s="619"/>
      <c r="C145" s="358" t="s">
        <v>4</v>
      </c>
      <c r="D145" s="213">
        <v>131679.40328999999</v>
      </c>
      <c r="E145" s="213">
        <v>126755.327</v>
      </c>
      <c r="F145" s="214">
        <f t="shared" si="10"/>
        <v>0.96260556953500465</v>
      </c>
      <c r="G145" s="600"/>
      <c r="H145" s="600"/>
      <c r="I145" s="600"/>
      <c r="J145" s="600"/>
      <c r="K145" s="603"/>
      <c r="L145" s="619"/>
      <c r="M145" s="622"/>
    </row>
    <row r="146" spans="1:13" ht="96.75" customHeight="1" x14ac:dyDescent="0.25">
      <c r="A146" s="510" t="s">
        <v>197</v>
      </c>
      <c r="B146" s="468" t="s">
        <v>1087</v>
      </c>
      <c r="C146" s="189" t="s">
        <v>4</v>
      </c>
      <c r="D146" s="190">
        <f>SUM(D147:D150)</f>
        <v>2429386.63</v>
      </c>
      <c r="E146" s="190">
        <f>SUM(E147:E150)</f>
        <v>2090483.439</v>
      </c>
      <c r="F146" s="504">
        <f t="shared" ref="F146:F214" si="15">E146/D146</f>
        <v>0.86049845388339863</v>
      </c>
      <c r="G146" s="511">
        <f>SUM(G147:G150)</f>
        <v>31</v>
      </c>
      <c r="H146" s="511">
        <f>SUM(H147:H150)</f>
        <v>26</v>
      </c>
      <c r="I146" s="511">
        <f>SUM(I147:I150)</f>
        <v>2</v>
      </c>
      <c r="J146" s="511">
        <f>SUM(J147:J150)</f>
        <v>3</v>
      </c>
      <c r="K146" s="512">
        <f t="shared" ref="K146:K151" si="16">(H146+I146/2)/G146</f>
        <v>0.87096774193548387</v>
      </c>
      <c r="L146" s="513" t="s">
        <v>1437</v>
      </c>
      <c r="M146" s="514"/>
    </row>
    <row r="147" spans="1:13" s="233" customFormat="1" ht="123.75" customHeight="1" outlineLevel="1" x14ac:dyDescent="0.25">
      <c r="A147" s="358" t="s">
        <v>198</v>
      </c>
      <c r="B147" s="354" t="s">
        <v>1126</v>
      </c>
      <c r="C147" s="358" t="s">
        <v>4</v>
      </c>
      <c r="D147" s="213">
        <v>51698.139999999992</v>
      </c>
      <c r="E147" s="213">
        <v>49437.14</v>
      </c>
      <c r="F147" s="214">
        <f t="shared" si="15"/>
        <v>0.9562653511325554</v>
      </c>
      <c r="G147" s="355">
        <f>SUM(H147:J147)</f>
        <v>13</v>
      </c>
      <c r="H147" s="438">
        <v>11</v>
      </c>
      <c r="I147" s="438">
        <v>1</v>
      </c>
      <c r="J147" s="355">
        <v>1</v>
      </c>
      <c r="K147" s="356">
        <f>(H147+I147*0.5)/G147</f>
        <v>0.88461538461538458</v>
      </c>
      <c r="L147" s="361" t="s">
        <v>1436</v>
      </c>
      <c r="M147" s="234" t="s">
        <v>2090</v>
      </c>
    </row>
    <row r="148" spans="1:13" s="233" customFormat="1" ht="120" customHeight="1" outlineLevel="1" x14ac:dyDescent="0.25">
      <c r="A148" s="358" t="s">
        <v>1888</v>
      </c>
      <c r="B148" s="234" t="s">
        <v>1127</v>
      </c>
      <c r="C148" s="358" t="s">
        <v>4</v>
      </c>
      <c r="D148" s="213">
        <v>2135891.21</v>
      </c>
      <c r="E148" s="213">
        <v>1820467.19</v>
      </c>
      <c r="F148" s="214">
        <f t="shared" si="15"/>
        <v>0.85232205717069265</v>
      </c>
      <c r="G148" s="355">
        <f>SUM(H148:J148)</f>
        <v>10</v>
      </c>
      <c r="H148" s="355">
        <v>8</v>
      </c>
      <c r="I148" s="355">
        <v>1</v>
      </c>
      <c r="J148" s="355">
        <v>1</v>
      </c>
      <c r="K148" s="356">
        <f t="shared" si="16"/>
        <v>0.85</v>
      </c>
      <c r="L148" s="354" t="s">
        <v>1190</v>
      </c>
      <c r="M148" s="234" t="s">
        <v>2091</v>
      </c>
    </row>
    <row r="149" spans="1:13" s="233" customFormat="1" ht="116.25" customHeight="1" outlineLevel="1" x14ac:dyDescent="0.25">
      <c r="A149" s="358" t="s">
        <v>1889</v>
      </c>
      <c r="B149" s="234" t="s">
        <v>1128</v>
      </c>
      <c r="C149" s="358" t="s">
        <v>4</v>
      </c>
      <c r="D149" s="213">
        <v>141609.46000000002</v>
      </c>
      <c r="E149" s="213">
        <v>135644.1</v>
      </c>
      <c r="F149" s="214">
        <f t="shared" si="15"/>
        <v>0.95787456572463436</v>
      </c>
      <c r="G149" s="355">
        <f>SUM(H149:J149)</f>
        <v>5</v>
      </c>
      <c r="H149" s="355">
        <v>5</v>
      </c>
      <c r="I149" s="355">
        <v>0</v>
      </c>
      <c r="J149" s="355">
        <v>0</v>
      </c>
      <c r="K149" s="356">
        <f t="shared" si="16"/>
        <v>1</v>
      </c>
      <c r="L149" s="354" t="s">
        <v>1129</v>
      </c>
      <c r="M149" s="424" t="s">
        <v>41</v>
      </c>
    </row>
    <row r="150" spans="1:13" s="233" customFormat="1" ht="91.5" customHeight="1" outlineLevel="1" x14ac:dyDescent="0.25">
      <c r="A150" s="358" t="s">
        <v>1890</v>
      </c>
      <c r="B150" s="234" t="s">
        <v>191</v>
      </c>
      <c r="C150" s="358" t="s">
        <v>4</v>
      </c>
      <c r="D150" s="213">
        <v>100187.82</v>
      </c>
      <c r="E150" s="213">
        <v>84935.008999999991</v>
      </c>
      <c r="F150" s="214">
        <f t="shared" si="15"/>
        <v>0.84775783124136228</v>
      </c>
      <c r="G150" s="355">
        <f>SUM(H150:J150)</f>
        <v>3</v>
      </c>
      <c r="H150" s="355">
        <v>2</v>
      </c>
      <c r="I150" s="355">
        <v>0</v>
      </c>
      <c r="J150" s="355">
        <v>1</v>
      </c>
      <c r="K150" s="356">
        <f t="shared" si="16"/>
        <v>0.66666666666666663</v>
      </c>
      <c r="L150" s="354" t="s">
        <v>1130</v>
      </c>
      <c r="M150" s="435" t="s">
        <v>1438</v>
      </c>
    </row>
    <row r="151" spans="1:13" ht="21.75" customHeight="1" x14ac:dyDescent="0.25">
      <c r="A151" s="624" t="s">
        <v>199</v>
      </c>
      <c r="B151" s="642" t="s">
        <v>1057</v>
      </c>
      <c r="C151" s="189" t="s">
        <v>3</v>
      </c>
      <c r="D151" s="190">
        <f>SUM(D152:D155)</f>
        <v>1395977.6233600001</v>
      </c>
      <c r="E151" s="190">
        <f>SUM(E152:E155)</f>
        <v>1257117.5380200001</v>
      </c>
      <c r="F151" s="504">
        <f t="shared" si="15"/>
        <v>0.90052843038717523</v>
      </c>
      <c r="G151" s="630">
        <f>SUM(G156:G174)</f>
        <v>53</v>
      </c>
      <c r="H151" s="630">
        <f>SUM(H156:H174)</f>
        <v>42</v>
      </c>
      <c r="I151" s="630">
        <f>SUM(I156:I174)</f>
        <v>6</v>
      </c>
      <c r="J151" s="630">
        <f>SUM(J156:J174)</f>
        <v>5</v>
      </c>
      <c r="K151" s="633">
        <f t="shared" si="16"/>
        <v>0.84905660377358494</v>
      </c>
      <c r="L151" s="636" t="s">
        <v>1135</v>
      </c>
      <c r="M151" s="639"/>
    </row>
    <row r="152" spans="1:13" ht="21.75" customHeight="1" x14ac:dyDescent="0.25">
      <c r="A152" s="625"/>
      <c r="B152" s="643"/>
      <c r="C152" s="192" t="s">
        <v>4</v>
      </c>
      <c r="D152" s="193">
        <f>D156+D158+D162+D165+D168+D173</f>
        <v>669754.19178999995</v>
      </c>
      <c r="E152" s="193">
        <f>E156+E158+E162+E165+E168+E173</f>
        <v>661312.59744000004</v>
      </c>
      <c r="F152" s="503">
        <f t="shared" si="15"/>
        <v>0.9873959813115335</v>
      </c>
      <c r="G152" s="631"/>
      <c r="H152" s="631"/>
      <c r="I152" s="631"/>
      <c r="J152" s="631"/>
      <c r="K152" s="634"/>
      <c r="L152" s="637"/>
      <c r="M152" s="640"/>
    </row>
    <row r="153" spans="1:13" ht="21.75" customHeight="1" x14ac:dyDescent="0.25">
      <c r="A153" s="625"/>
      <c r="B153" s="643"/>
      <c r="C153" s="192" t="s">
        <v>5</v>
      </c>
      <c r="D153" s="193">
        <f>D159+D163+D166+D169+D174</f>
        <v>634730.53157000011</v>
      </c>
      <c r="E153" s="193">
        <f>E159+E163+E166+E169+E174</f>
        <v>568424.52066000004</v>
      </c>
      <c r="F153" s="503">
        <f t="shared" si="15"/>
        <v>0.89553675518649978</v>
      </c>
      <c r="G153" s="631"/>
      <c r="H153" s="631"/>
      <c r="I153" s="631"/>
      <c r="J153" s="631"/>
      <c r="K153" s="634"/>
      <c r="L153" s="637"/>
      <c r="M153" s="640"/>
    </row>
    <row r="154" spans="1:13" ht="21.75" customHeight="1" x14ac:dyDescent="0.25">
      <c r="A154" s="625"/>
      <c r="B154" s="643"/>
      <c r="C154" s="192" t="s">
        <v>6</v>
      </c>
      <c r="D154" s="193">
        <f>D170</f>
        <v>29036.400000000001</v>
      </c>
      <c r="E154" s="193">
        <f>E170</f>
        <v>9848.4199200000003</v>
      </c>
      <c r="F154" s="503">
        <f t="shared" si="15"/>
        <v>0.33917496383849238</v>
      </c>
      <c r="G154" s="631"/>
      <c r="H154" s="631"/>
      <c r="I154" s="631"/>
      <c r="J154" s="631"/>
      <c r="K154" s="634"/>
      <c r="L154" s="637"/>
      <c r="M154" s="640"/>
    </row>
    <row r="155" spans="1:13" ht="21.75" customHeight="1" x14ac:dyDescent="0.25">
      <c r="A155" s="626"/>
      <c r="B155" s="644"/>
      <c r="C155" s="192" t="s">
        <v>7</v>
      </c>
      <c r="D155" s="193">
        <f>D160+D171</f>
        <v>62456.5</v>
      </c>
      <c r="E155" s="193">
        <f>E160+E171</f>
        <v>17532</v>
      </c>
      <c r="F155" s="503">
        <f t="shared" si="15"/>
        <v>0.28070737233114246</v>
      </c>
      <c r="G155" s="632"/>
      <c r="H155" s="632"/>
      <c r="I155" s="632"/>
      <c r="J155" s="632"/>
      <c r="K155" s="635"/>
      <c r="L155" s="638"/>
      <c r="M155" s="641"/>
    </row>
    <row r="156" spans="1:13" s="233" customFormat="1" ht="103.5" customHeight="1" outlineLevel="1" x14ac:dyDescent="0.25">
      <c r="A156" s="358" t="s">
        <v>200</v>
      </c>
      <c r="B156" s="234" t="s">
        <v>205</v>
      </c>
      <c r="C156" s="358" t="s">
        <v>4</v>
      </c>
      <c r="D156" s="213">
        <v>27079.41</v>
      </c>
      <c r="E156" s="213">
        <v>24058.816190000001</v>
      </c>
      <c r="F156" s="214">
        <f t="shared" si="15"/>
        <v>0.88845422370723737</v>
      </c>
      <c r="G156" s="355">
        <f>SUM(H156:J156)</f>
        <v>10</v>
      </c>
      <c r="H156" s="355">
        <v>8</v>
      </c>
      <c r="I156" s="355">
        <v>1</v>
      </c>
      <c r="J156" s="355">
        <v>1</v>
      </c>
      <c r="K156" s="356">
        <f>(H156+I156/2)/G156</f>
        <v>0.85</v>
      </c>
      <c r="L156" s="354" t="s">
        <v>1134</v>
      </c>
      <c r="M156" s="454" t="s">
        <v>1633</v>
      </c>
    </row>
    <row r="157" spans="1:13" s="233" customFormat="1" ht="21" customHeight="1" outlineLevel="1" x14ac:dyDescent="0.25">
      <c r="A157" s="621" t="s">
        <v>201</v>
      </c>
      <c r="B157" s="618" t="s">
        <v>207</v>
      </c>
      <c r="C157" s="358" t="s">
        <v>3</v>
      </c>
      <c r="D157" s="213">
        <f>SUM(D158:D160)</f>
        <v>327039.47679000004</v>
      </c>
      <c r="E157" s="213">
        <f>SUM(E158:E160)</f>
        <v>282790.69433000009</v>
      </c>
      <c r="F157" s="214">
        <f t="shared" si="15"/>
        <v>0.86469895654703122</v>
      </c>
      <c r="G157" s="599">
        <f>SUM(H157:J160)</f>
        <v>20</v>
      </c>
      <c r="H157" s="599">
        <v>15</v>
      </c>
      <c r="I157" s="599">
        <v>3</v>
      </c>
      <c r="J157" s="599">
        <v>2</v>
      </c>
      <c r="K157" s="602">
        <f>(H157+I157/2)/G157</f>
        <v>0.82499999999999996</v>
      </c>
      <c r="L157" s="618" t="s">
        <v>1133</v>
      </c>
      <c r="M157" s="618" t="s">
        <v>1634</v>
      </c>
    </row>
    <row r="158" spans="1:13" s="233" customFormat="1" ht="21" customHeight="1" outlineLevel="1" x14ac:dyDescent="0.25">
      <c r="A158" s="622"/>
      <c r="B158" s="619"/>
      <c r="C158" s="358" t="s">
        <v>4</v>
      </c>
      <c r="D158" s="213">
        <v>153054.77679000003</v>
      </c>
      <c r="E158" s="213">
        <v>152605.49433000005</v>
      </c>
      <c r="F158" s="214">
        <f t="shared" si="15"/>
        <v>0.99706456427285228</v>
      </c>
      <c r="G158" s="600"/>
      <c r="H158" s="600"/>
      <c r="I158" s="600"/>
      <c r="J158" s="600"/>
      <c r="K158" s="603" t="e">
        <f>(#REF!+#REF!/2)/#REF!</f>
        <v>#REF!</v>
      </c>
      <c r="L158" s="619"/>
      <c r="M158" s="619"/>
    </row>
    <row r="159" spans="1:13" s="233" customFormat="1" ht="21" customHeight="1" outlineLevel="1" x14ac:dyDescent="0.25">
      <c r="A159" s="622"/>
      <c r="B159" s="619"/>
      <c r="C159" s="358" t="s">
        <v>5</v>
      </c>
      <c r="D159" s="213">
        <v>120874.20000000001</v>
      </c>
      <c r="E159" s="213">
        <v>121999.20000000001</v>
      </c>
      <c r="F159" s="214">
        <f t="shared" si="15"/>
        <v>1.0093071970693497</v>
      </c>
      <c r="G159" s="600"/>
      <c r="H159" s="600"/>
      <c r="I159" s="600"/>
      <c r="J159" s="600"/>
      <c r="K159" s="603" t="e">
        <f>(#REF!+K157/2)/#REF!</f>
        <v>#REF!</v>
      </c>
      <c r="L159" s="619"/>
      <c r="M159" s="619"/>
    </row>
    <row r="160" spans="1:13" s="233" customFormat="1" ht="21" customHeight="1" outlineLevel="1" x14ac:dyDescent="0.25">
      <c r="A160" s="623"/>
      <c r="B160" s="620"/>
      <c r="C160" s="358" t="s">
        <v>7</v>
      </c>
      <c r="D160" s="213">
        <v>53110.5</v>
      </c>
      <c r="E160" s="213">
        <v>8185.9999999999991</v>
      </c>
      <c r="F160" s="214">
        <f t="shared" si="15"/>
        <v>0.15413148059234991</v>
      </c>
      <c r="G160" s="601"/>
      <c r="H160" s="601"/>
      <c r="I160" s="601"/>
      <c r="J160" s="601"/>
      <c r="K160" s="604" t="e">
        <f>(K158+K159/2)/K157</f>
        <v>#REF!</v>
      </c>
      <c r="L160" s="620"/>
      <c r="M160" s="620"/>
    </row>
    <row r="161" spans="1:13" s="233" customFormat="1" ht="27" customHeight="1" outlineLevel="1" x14ac:dyDescent="0.25">
      <c r="A161" s="621" t="s">
        <v>202</v>
      </c>
      <c r="B161" s="618" t="s">
        <v>209</v>
      </c>
      <c r="C161" s="358" t="s">
        <v>3</v>
      </c>
      <c r="D161" s="213">
        <f>SUM(D162:D163)</f>
        <v>36556.300000000003</v>
      </c>
      <c r="E161" s="213">
        <f>SUM(E162:E163)</f>
        <v>25380.799999999999</v>
      </c>
      <c r="F161" s="214">
        <f t="shared" si="15"/>
        <v>0.69429345967726486</v>
      </c>
      <c r="G161" s="599">
        <f>SUM(H161:J163)</f>
        <v>7</v>
      </c>
      <c r="H161" s="599">
        <v>6</v>
      </c>
      <c r="I161" s="599">
        <v>0</v>
      </c>
      <c r="J161" s="599">
        <v>1</v>
      </c>
      <c r="K161" s="602">
        <f>(H161+I161/2)/G161</f>
        <v>0.8571428571428571</v>
      </c>
      <c r="L161" s="618" t="s">
        <v>1132</v>
      </c>
      <c r="M161" s="618" t="s">
        <v>2092</v>
      </c>
    </row>
    <row r="162" spans="1:13" s="233" customFormat="1" ht="27" customHeight="1" outlineLevel="1" x14ac:dyDescent="0.25">
      <c r="A162" s="622"/>
      <c r="B162" s="619"/>
      <c r="C162" s="358" t="s">
        <v>4</v>
      </c>
      <c r="D162" s="213">
        <v>25380.799999999999</v>
      </c>
      <c r="E162" s="213">
        <v>25380.799999999999</v>
      </c>
      <c r="F162" s="214">
        <f t="shared" si="15"/>
        <v>1</v>
      </c>
      <c r="G162" s="600"/>
      <c r="H162" s="600"/>
      <c r="I162" s="600"/>
      <c r="J162" s="600"/>
      <c r="K162" s="603" t="e">
        <f>(#REF!+#REF!/2)/#REF!</f>
        <v>#REF!</v>
      </c>
      <c r="L162" s="619"/>
      <c r="M162" s="619"/>
    </row>
    <row r="163" spans="1:13" s="233" customFormat="1" ht="27" customHeight="1" outlineLevel="1" x14ac:dyDescent="0.25">
      <c r="A163" s="623"/>
      <c r="B163" s="620"/>
      <c r="C163" s="358" t="s">
        <v>5</v>
      </c>
      <c r="D163" s="213">
        <v>11175.5</v>
      </c>
      <c r="E163" s="213">
        <v>0</v>
      </c>
      <c r="F163" s="214">
        <v>0</v>
      </c>
      <c r="G163" s="601"/>
      <c r="H163" s="601"/>
      <c r="I163" s="601"/>
      <c r="J163" s="601"/>
      <c r="K163" s="604" t="e">
        <f>(#REF!+K161/2)/#REF!</f>
        <v>#REF!</v>
      </c>
      <c r="L163" s="620"/>
      <c r="M163" s="620"/>
    </row>
    <row r="164" spans="1:13" s="233" customFormat="1" ht="21.75" customHeight="1" outlineLevel="1" x14ac:dyDescent="0.25">
      <c r="A164" s="621" t="s">
        <v>203</v>
      </c>
      <c r="B164" s="618" t="s">
        <v>211</v>
      </c>
      <c r="C164" s="358" t="s">
        <v>3</v>
      </c>
      <c r="D164" s="213">
        <f>SUM(D165:D166)</f>
        <v>485874.9</v>
      </c>
      <c r="E164" s="213">
        <f>SUM(E165:E166)</f>
        <v>483925.54149000003</v>
      </c>
      <c r="F164" s="214">
        <f t="shared" si="15"/>
        <v>0.99598794152568904</v>
      </c>
      <c r="G164" s="599">
        <f>SUM(H164:J166)</f>
        <v>3</v>
      </c>
      <c r="H164" s="599">
        <v>3</v>
      </c>
      <c r="I164" s="599">
        <v>0</v>
      </c>
      <c r="J164" s="599">
        <v>0</v>
      </c>
      <c r="K164" s="602">
        <f>(H164+I164/2)/G164</f>
        <v>1</v>
      </c>
      <c r="L164" s="618" t="s">
        <v>1131</v>
      </c>
      <c r="M164" s="621" t="s">
        <v>41</v>
      </c>
    </row>
    <row r="165" spans="1:13" s="233" customFormat="1" ht="21.75" customHeight="1" outlineLevel="1" x14ac:dyDescent="0.25">
      <c r="A165" s="622"/>
      <c r="B165" s="619"/>
      <c r="C165" s="358" t="s">
        <v>4</v>
      </c>
      <c r="D165" s="213">
        <v>324048.90000000002</v>
      </c>
      <c r="E165" s="213">
        <v>324089.53198000003</v>
      </c>
      <c r="F165" s="214">
        <f t="shared" si="15"/>
        <v>1.0001253884213155</v>
      </c>
      <c r="G165" s="600"/>
      <c r="H165" s="600"/>
      <c r="I165" s="600"/>
      <c r="J165" s="600"/>
      <c r="K165" s="603" t="e">
        <f>(#REF!+#REF!/2)/#REF!</f>
        <v>#REF!</v>
      </c>
      <c r="L165" s="619"/>
      <c r="M165" s="622"/>
    </row>
    <row r="166" spans="1:13" s="233" customFormat="1" ht="21.75" customHeight="1" outlineLevel="1" x14ac:dyDescent="0.25">
      <c r="A166" s="623"/>
      <c r="B166" s="620"/>
      <c r="C166" s="358" t="s">
        <v>5</v>
      </c>
      <c r="D166" s="213">
        <v>161826</v>
      </c>
      <c r="E166" s="213">
        <v>159836.00951</v>
      </c>
      <c r="F166" s="214">
        <f t="shared" si="15"/>
        <v>0.98770290009022044</v>
      </c>
      <c r="G166" s="601"/>
      <c r="H166" s="601"/>
      <c r="I166" s="601"/>
      <c r="J166" s="601"/>
      <c r="K166" s="604" t="e">
        <f>(#REF!+K164/2)/#REF!</f>
        <v>#REF!</v>
      </c>
      <c r="L166" s="669"/>
      <c r="M166" s="623"/>
    </row>
    <row r="167" spans="1:13" s="233" customFormat="1" ht="23.25" customHeight="1" outlineLevel="1" x14ac:dyDescent="0.25">
      <c r="A167" s="621" t="s">
        <v>1891</v>
      </c>
      <c r="B167" s="618" t="s">
        <v>213</v>
      </c>
      <c r="C167" s="358" t="s">
        <v>3</v>
      </c>
      <c r="D167" s="213">
        <f>SUM(D168:D171)</f>
        <v>508532.18900000001</v>
      </c>
      <c r="E167" s="213">
        <f>SUM(E168:E171)</f>
        <v>430217.18850000005</v>
      </c>
      <c r="F167" s="214">
        <f t="shared" si="15"/>
        <v>0.84599794822427654</v>
      </c>
      <c r="G167" s="599">
        <f>SUM(H167:J171)</f>
        <v>5</v>
      </c>
      <c r="H167" s="599">
        <v>4</v>
      </c>
      <c r="I167" s="599">
        <v>1</v>
      </c>
      <c r="J167" s="599">
        <v>0</v>
      </c>
      <c r="K167" s="602">
        <f>(H167+I167/2)/G167</f>
        <v>0.9</v>
      </c>
      <c r="L167" s="666" t="s">
        <v>1635</v>
      </c>
      <c r="M167" s="618" t="s">
        <v>2093</v>
      </c>
    </row>
    <row r="168" spans="1:13" s="233" customFormat="1" ht="23.25" customHeight="1" outlineLevel="1" x14ac:dyDescent="0.25">
      <c r="A168" s="622"/>
      <c r="B168" s="619"/>
      <c r="C168" s="358" t="s">
        <v>4</v>
      </c>
      <c r="D168" s="213">
        <v>130510.14899999999</v>
      </c>
      <c r="E168" s="213">
        <v>125595.74899999998</v>
      </c>
      <c r="F168" s="214">
        <f t="shared" si="15"/>
        <v>0.96234469090982333</v>
      </c>
      <c r="G168" s="600"/>
      <c r="H168" s="600"/>
      <c r="I168" s="600"/>
      <c r="J168" s="600"/>
      <c r="K168" s="603" t="e">
        <f>(#REF!+#REF!/2)/#REF!</f>
        <v>#REF!</v>
      </c>
      <c r="L168" s="667"/>
      <c r="M168" s="619"/>
    </row>
    <row r="169" spans="1:13" s="233" customFormat="1" ht="23.25" customHeight="1" outlineLevel="1" x14ac:dyDescent="0.25">
      <c r="A169" s="622"/>
      <c r="B169" s="619"/>
      <c r="C169" s="358" t="s">
        <v>5</v>
      </c>
      <c r="D169" s="213">
        <v>339639.64</v>
      </c>
      <c r="E169" s="213">
        <v>285427.01958000002</v>
      </c>
      <c r="F169" s="214">
        <f t="shared" si="15"/>
        <v>0.84038194004680966</v>
      </c>
      <c r="G169" s="600"/>
      <c r="H169" s="600"/>
      <c r="I169" s="600"/>
      <c r="J169" s="600"/>
      <c r="K169" s="603"/>
      <c r="L169" s="667"/>
      <c r="M169" s="619"/>
    </row>
    <row r="170" spans="1:13" s="233" customFormat="1" ht="23.25" customHeight="1" outlineLevel="1" x14ac:dyDescent="0.25">
      <c r="A170" s="622"/>
      <c r="B170" s="619"/>
      <c r="C170" s="358" t="s">
        <v>6</v>
      </c>
      <c r="D170" s="213">
        <v>29036.400000000001</v>
      </c>
      <c r="E170" s="213">
        <v>9848.4199200000003</v>
      </c>
      <c r="F170" s="214">
        <f t="shared" si="15"/>
        <v>0.33917496383849238</v>
      </c>
      <c r="G170" s="600"/>
      <c r="H170" s="600"/>
      <c r="I170" s="600"/>
      <c r="J170" s="600"/>
      <c r="K170" s="603" t="e">
        <f>(K167+K168/2)/#REF!</f>
        <v>#REF!</v>
      </c>
      <c r="L170" s="667"/>
      <c r="M170" s="619"/>
    </row>
    <row r="171" spans="1:13" s="233" customFormat="1" ht="23.25" customHeight="1" outlineLevel="1" x14ac:dyDescent="0.25">
      <c r="A171" s="623"/>
      <c r="B171" s="620"/>
      <c r="C171" s="358" t="s">
        <v>7</v>
      </c>
      <c r="D171" s="213">
        <v>9346</v>
      </c>
      <c r="E171" s="213">
        <v>9346</v>
      </c>
      <c r="F171" s="214">
        <f t="shared" si="15"/>
        <v>1</v>
      </c>
      <c r="G171" s="601"/>
      <c r="H171" s="601"/>
      <c r="I171" s="601"/>
      <c r="J171" s="601"/>
      <c r="K171" s="604" t="e">
        <f>(K168+#REF!/2)/K167</f>
        <v>#REF!</v>
      </c>
      <c r="L171" s="668"/>
      <c r="M171" s="620"/>
    </row>
    <row r="172" spans="1:13" s="233" customFormat="1" ht="21.75" customHeight="1" outlineLevel="1" x14ac:dyDescent="0.25">
      <c r="A172" s="621" t="s">
        <v>1892</v>
      </c>
      <c r="B172" s="618" t="s">
        <v>214</v>
      </c>
      <c r="C172" s="358" t="s">
        <v>3</v>
      </c>
      <c r="D172" s="213">
        <f>SUM(D173:D174)</f>
        <v>10895.34757</v>
      </c>
      <c r="E172" s="213">
        <f>SUM(E173:E174)</f>
        <v>10744.497509999999</v>
      </c>
      <c r="F172" s="214">
        <f t="shared" si="15"/>
        <v>0.98615463535873227</v>
      </c>
      <c r="G172" s="599">
        <f>SUM(H172:J174)</f>
        <v>8</v>
      </c>
      <c r="H172" s="599">
        <v>6</v>
      </c>
      <c r="I172" s="599">
        <v>1</v>
      </c>
      <c r="J172" s="599">
        <v>1</v>
      </c>
      <c r="K172" s="602">
        <f>(H172+I172/2)/G172</f>
        <v>0.8125</v>
      </c>
      <c r="L172" s="618" t="s">
        <v>1134</v>
      </c>
      <c r="M172" s="618" t="s">
        <v>1636</v>
      </c>
    </row>
    <row r="173" spans="1:13" s="233" customFormat="1" ht="21.75" customHeight="1" outlineLevel="1" x14ac:dyDescent="0.25">
      <c r="A173" s="664"/>
      <c r="B173" s="664"/>
      <c r="C173" s="358" t="s">
        <v>4</v>
      </c>
      <c r="D173" s="213">
        <v>9680.155999999999</v>
      </c>
      <c r="E173" s="213">
        <v>9582.2059399999998</v>
      </c>
      <c r="F173" s="214">
        <f t="shared" si="15"/>
        <v>0.98988135521782916</v>
      </c>
      <c r="G173" s="664"/>
      <c r="H173" s="664"/>
      <c r="I173" s="664"/>
      <c r="J173" s="664"/>
      <c r="K173" s="664"/>
      <c r="L173" s="664"/>
      <c r="M173" s="664"/>
    </row>
    <row r="174" spans="1:13" s="233" customFormat="1" ht="21.6" customHeight="1" outlineLevel="1" x14ac:dyDescent="0.25">
      <c r="A174" s="665"/>
      <c r="B174" s="665"/>
      <c r="C174" s="358" t="s">
        <v>5</v>
      </c>
      <c r="D174" s="213">
        <v>1215.1915700000002</v>
      </c>
      <c r="E174" s="213">
        <v>1162.2915700000001</v>
      </c>
      <c r="F174" s="214">
        <f t="shared" si="15"/>
        <v>0.95646776911067599</v>
      </c>
      <c r="G174" s="665"/>
      <c r="H174" s="665"/>
      <c r="I174" s="665"/>
      <c r="J174" s="665"/>
      <c r="K174" s="665"/>
      <c r="L174" s="665"/>
      <c r="M174" s="665"/>
    </row>
    <row r="175" spans="1:13" ht="30" customHeight="1" x14ac:dyDescent="0.25">
      <c r="A175" s="624" t="s">
        <v>1893</v>
      </c>
      <c r="B175" s="642" t="s">
        <v>1088</v>
      </c>
      <c r="C175" s="189" t="s">
        <v>3</v>
      </c>
      <c r="D175" s="190">
        <f>SUM(D176:D179)</f>
        <v>1459824.1408799998</v>
      </c>
      <c r="E175" s="190">
        <f>SUM(E176:E179)</f>
        <v>1506193.1111400002</v>
      </c>
      <c r="F175" s="504">
        <f t="shared" si="15"/>
        <v>1.031763394618237</v>
      </c>
      <c r="G175" s="630">
        <f>SUM(G180:G196)</f>
        <v>38</v>
      </c>
      <c r="H175" s="630">
        <f>SUM(H180:H196)</f>
        <v>29</v>
      </c>
      <c r="I175" s="630">
        <f>SUM(I180:I196)</f>
        <v>8</v>
      </c>
      <c r="J175" s="630">
        <f>SUM(J180:J196)</f>
        <v>1</v>
      </c>
      <c r="K175" s="633">
        <f>(H175+I175/2)/G175</f>
        <v>0.86842105263157898</v>
      </c>
      <c r="L175" s="636" t="s">
        <v>1608</v>
      </c>
      <c r="M175" s="639"/>
    </row>
    <row r="176" spans="1:13" ht="30" customHeight="1" x14ac:dyDescent="0.25">
      <c r="A176" s="625"/>
      <c r="B176" s="643"/>
      <c r="C176" s="192" t="s">
        <v>4</v>
      </c>
      <c r="D176" s="193">
        <f>D181+D185+D189+D192+D194</f>
        <v>1124699.7885199999</v>
      </c>
      <c r="E176" s="193">
        <f>E181+E185+E189+E192+E194</f>
        <v>1162006.5496400001</v>
      </c>
      <c r="F176" s="503">
        <f t="shared" si="15"/>
        <v>1.0331704171200142</v>
      </c>
      <c r="G176" s="631"/>
      <c r="H176" s="631"/>
      <c r="I176" s="631"/>
      <c r="J176" s="631"/>
      <c r="K176" s="634"/>
      <c r="L176" s="637"/>
      <c r="M176" s="640"/>
    </row>
    <row r="177" spans="1:13" ht="30" customHeight="1" x14ac:dyDescent="0.25">
      <c r="A177" s="625"/>
      <c r="B177" s="643"/>
      <c r="C177" s="192" t="s">
        <v>5</v>
      </c>
      <c r="D177" s="193">
        <f>D182+D186+D195</f>
        <v>229963.58999999997</v>
      </c>
      <c r="E177" s="193">
        <f>E182+E186+E195</f>
        <v>229943.48617999998</v>
      </c>
      <c r="F177" s="503">
        <f t="shared" si="15"/>
        <v>0.99991257824771307</v>
      </c>
      <c r="G177" s="631"/>
      <c r="H177" s="631"/>
      <c r="I177" s="631"/>
      <c r="J177" s="631"/>
      <c r="K177" s="634"/>
      <c r="L177" s="637"/>
      <c r="M177" s="640"/>
    </row>
    <row r="178" spans="1:13" ht="30" customHeight="1" x14ac:dyDescent="0.25">
      <c r="A178" s="625"/>
      <c r="B178" s="643"/>
      <c r="C178" s="192" t="s">
        <v>6</v>
      </c>
      <c r="D178" s="193">
        <f>D190+D196</f>
        <v>11922.46236</v>
      </c>
      <c r="E178" s="193">
        <f>E190+E196</f>
        <v>11254.605320000001</v>
      </c>
      <c r="F178" s="503">
        <v>1</v>
      </c>
      <c r="G178" s="631"/>
      <c r="H178" s="631"/>
      <c r="I178" s="631"/>
      <c r="J178" s="631"/>
      <c r="K178" s="634"/>
      <c r="L178" s="637"/>
      <c r="M178" s="640"/>
    </row>
    <row r="179" spans="1:13" ht="30" customHeight="1" x14ac:dyDescent="0.25">
      <c r="A179" s="626"/>
      <c r="B179" s="644"/>
      <c r="C179" s="192" t="s">
        <v>7</v>
      </c>
      <c r="D179" s="193">
        <f>D183+D187+D197</f>
        <v>93238.3</v>
      </c>
      <c r="E179" s="193">
        <f>E183+E187+E197</f>
        <v>102988.47</v>
      </c>
      <c r="F179" s="503">
        <f t="shared" si="15"/>
        <v>1.1045725844422303</v>
      </c>
      <c r="G179" s="632"/>
      <c r="H179" s="632"/>
      <c r="I179" s="632"/>
      <c r="J179" s="632"/>
      <c r="K179" s="635"/>
      <c r="L179" s="638"/>
      <c r="M179" s="641"/>
    </row>
    <row r="180" spans="1:13" s="233" customFormat="1" ht="26.25" customHeight="1" outlineLevel="1" x14ac:dyDescent="0.25">
      <c r="A180" s="621" t="s">
        <v>204</v>
      </c>
      <c r="B180" s="618" t="s">
        <v>1136</v>
      </c>
      <c r="C180" s="358" t="s">
        <v>3</v>
      </c>
      <c r="D180" s="213">
        <f>SUM(D181:D183)</f>
        <v>823846.77419000003</v>
      </c>
      <c r="E180" s="213">
        <f>SUM(E181:E183)</f>
        <v>906552.02776999993</v>
      </c>
      <c r="F180" s="214">
        <f>E180/D180</f>
        <v>1.1003891210975671</v>
      </c>
      <c r="G180" s="599">
        <f>SUM(H180:J183)</f>
        <v>17</v>
      </c>
      <c r="H180" s="599">
        <v>13</v>
      </c>
      <c r="I180" s="599">
        <v>4</v>
      </c>
      <c r="J180" s="599">
        <v>0</v>
      </c>
      <c r="K180" s="602">
        <f>(H180+I180/2)/G180</f>
        <v>0.88235294117647056</v>
      </c>
      <c r="L180" s="618" t="s">
        <v>1014</v>
      </c>
      <c r="M180" s="618" t="s">
        <v>1603</v>
      </c>
    </row>
    <row r="181" spans="1:13" s="233" customFormat="1" ht="26.25" customHeight="1" outlineLevel="1" x14ac:dyDescent="0.25">
      <c r="A181" s="622"/>
      <c r="B181" s="619"/>
      <c r="C181" s="358" t="s">
        <v>4</v>
      </c>
      <c r="D181" s="213">
        <v>773484.38419000001</v>
      </c>
      <c r="E181" s="213">
        <v>856189.63776999991</v>
      </c>
      <c r="F181" s="214">
        <f t="shared" ref="F181:F197" si="17">E181/D181</f>
        <v>1.1069255634250581</v>
      </c>
      <c r="G181" s="600"/>
      <c r="H181" s="600"/>
      <c r="I181" s="600"/>
      <c r="J181" s="600"/>
      <c r="K181" s="603" t="e">
        <f>(#REF!+#REF!/2)/#REF!</f>
        <v>#REF!</v>
      </c>
      <c r="L181" s="619"/>
      <c r="M181" s="619"/>
    </row>
    <row r="182" spans="1:13" s="233" customFormat="1" ht="26.25" customHeight="1" outlineLevel="1" x14ac:dyDescent="0.25">
      <c r="A182" s="622"/>
      <c r="B182" s="619"/>
      <c r="C182" s="358" t="s">
        <v>5</v>
      </c>
      <c r="D182" s="213">
        <v>43429.09</v>
      </c>
      <c r="E182" s="213">
        <v>43429.09</v>
      </c>
      <c r="F182" s="214">
        <f t="shared" si="17"/>
        <v>1</v>
      </c>
      <c r="G182" s="600"/>
      <c r="H182" s="600"/>
      <c r="I182" s="600"/>
      <c r="J182" s="600"/>
      <c r="K182" s="603" t="e">
        <f>(#REF!+K180/2)/#REF!</f>
        <v>#REF!</v>
      </c>
      <c r="L182" s="619"/>
      <c r="M182" s="619"/>
    </row>
    <row r="183" spans="1:13" s="233" customFormat="1" ht="26.25" customHeight="1" outlineLevel="1" x14ac:dyDescent="0.25">
      <c r="A183" s="623"/>
      <c r="B183" s="620"/>
      <c r="C183" s="358" t="s">
        <v>7</v>
      </c>
      <c r="D183" s="213">
        <v>6933.3</v>
      </c>
      <c r="E183" s="213">
        <v>6933.3</v>
      </c>
      <c r="F183" s="214">
        <f t="shared" si="17"/>
        <v>1</v>
      </c>
      <c r="G183" s="601"/>
      <c r="H183" s="601"/>
      <c r="I183" s="601"/>
      <c r="J183" s="601"/>
      <c r="K183" s="604" t="e">
        <f>(K181+K182/2)/K180</f>
        <v>#REF!</v>
      </c>
      <c r="L183" s="620"/>
      <c r="M183" s="620"/>
    </row>
    <row r="184" spans="1:13" s="233" customFormat="1" ht="21" customHeight="1" outlineLevel="1" x14ac:dyDescent="0.25">
      <c r="A184" s="621" t="s">
        <v>206</v>
      </c>
      <c r="B184" s="618" t="s">
        <v>1137</v>
      </c>
      <c r="C184" s="358" t="s">
        <v>3</v>
      </c>
      <c r="D184" s="213">
        <f>SUM(D185:D187)</f>
        <v>123420.39136000001</v>
      </c>
      <c r="E184" s="213">
        <f>SUM(E185:E187)</f>
        <v>129542.43759</v>
      </c>
      <c r="F184" s="214">
        <f t="shared" si="17"/>
        <v>1.0496031989733596</v>
      </c>
      <c r="G184" s="599">
        <f>SUM(H184:J187)</f>
        <v>7</v>
      </c>
      <c r="H184" s="599">
        <v>7</v>
      </c>
      <c r="I184" s="599">
        <v>0</v>
      </c>
      <c r="J184" s="599">
        <v>0</v>
      </c>
      <c r="K184" s="602">
        <f>(H184+I184/2)/G184</f>
        <v>1</v>
      </c>
      <c r="L184" s="651" t="s">
        <v>1138</v>
      </c>
      <c r="M184" s="618" t="s">
        <v>1604</v>
      </c>
    </row>
    <row r="185" spans="1:13" s="233" customFormat="1" ht="21" customHeight="1" outlineLevel="1" x14ac:dyDescent="0.25">
      <c r="A185" s="622"/>
      <c r="B185" s="619"/>
      <c r="C185" s="358" t="s">
        <v>4</v>
      </c>
      <c r="D185" s="213">
        <v>35422.99136</v>
      </c>
      <c r="E185" s="213">
        <v>31814.971410000002</v>
      </c>
      <c r="F185" s="214">
        <f t="shared" si="17"/>
        <v>0.89814468480845999</v>
      </c>
      <c r="G185" s="600"/>
      <c r="H185" s="600"/>
      <c r="I185" s="600"/>
      <c r="J185" s="600"/>
      <c r="K185" s="603"/>
      <c r="L185" s="652"/>
      <c r="M185" s="619"/>
    </row>
    <row r="186" spans="1:13" s="233" customFormat="1" ht="21" customHeight="1" outlineLevel="1" x14ac:dyDescent="0.25">
      <c r="A186" s="622"/>
      <c r="B186" s="619"/>
      <c r="C186" s="358" t="s">
        <v>5</v>
      </c>
      <c r="D186" s="213">
        <v>17997.400000000001</v>
      </c>
      <c r="E186" s="213">
        <v>17977.296180000001</v>
      </c>
      <c r="F186" s="214">
        <f t="shared" si="17"/>
        <v>0.99888295976085428</v>
      </c>
      <c r="G186" s="600"/>
      <c r="H186" s="600"/>
      <c r="I186" s="600"/>
      <c r="J186" s="600"/>
      <c r="K186" s="603"/>
      <c r="L186" s="652"/>
      <c r="M186" s="619"/>
    </row>
    <row r="187" spans="1:13" s="233" customFormat="1" ht="21" customHeight="1" outlineLevel="1" x14ac:dyDescent="0.25">
      <c r="A187" s="623"/>
      <c r="B187" s="620"/>
      <c r="C187" s="358" t="s">
        <v>7</v>
      </c>
      <c r="D187" s="213">
        <v>70000</v>
      </c>
      <c r="E187" s="213">
        <v>79750.17</v>
      </c>
      <c r="F187" s="214">
        <f t="shared" si="17"/>
        <v>1.1392881428571429</v>
      </c>
      <c r="G187" s="601"/>
      <c r="H187" s="601"/>
      <c r="I187" s="601"/>
      <c r="J187" s="601"/>
      <c r="K187" s="604"/>
      <c r="L187" s="655"/>
      <c r="M187" s="620"/>
    </row>
    <row r="188" spans="1:13" s="233" customFormat="1" ht="21" customHeight="1" outlineLevel="1" x14ac:dyDescent="0.25">
      <c r="A188" s="621" t="s">
        <v>208</v>
      </c>
      <c r="B188" s="651" t="s">
        <v>1139</v>
      </c>
      <c r="C188" s="358" t="s">
        <v>3</v>
      </c>
      <c r="D188" s="213">
        <f>SUM(D189:D190)</f>
        <v>239881.23755999998</v>
      </c>
      <c r="E188" s="213">
        <f>SUM(E189:E190)</f>
        <v>204523.32453000001</v>
      </c>
      <c r="F188" s="214">
        <f t="shared" si="17"/>
        <v>0.85260242364242378</v>
      </c>
      <c r="G188" s="599">
        <f>SUM(H188:J188)</f>
        <v>10</v>
      </c>
      <c r="H188" s="599">
        <v>6</v>
      </c>
      <c r="I188" s="599">
        <v>3</v>
      </c>
      <c r="J188" s="599">
        <v>1</v>
      </c>
      <c r="K188" s="602">
        <f>(H188+I188/2)/G188</f>
        <v>0.75</v>
      </c>
      <c r="L188" s="651" t="s">
        <v>157</v>
      </c>
      <c r="M188" s="651" t="s">
        <v>1605</v>
      </c>
    </row>
    <row r="189" spans="1:13" s="233" customFormat="1" ht="30.6" customHeight="1" outlineLevel="1" x14ac:dyDescent="0.25">
      <c r="A189" s="622"/>
      <c r="B189" s="652"/>
      <c r="C189" s="358" t="s">
        <v>4</v>
      </c>
      <c r="D189" s="213">
        <v>239579.70455999998</v>
      </c>
      <c r="E189" s="213">
        <v>204523.32453000001</v>
      </c>
      <c r="F189" s="214">
        <f t="shared" si="17"/>
        <v>0.85367550187782915</v>
      </c>
      <c r="G189" s="600"/>
      <c r="H189" s="600"/>
      <c r="I189" s="600"/>
      <c r="J189" s="600"/>
      <c r="K189" s="603"/>
      <c r="L189" s="652"/>
      <c r="M189" s="652"/>
    </row>
    <row r="190" spans="1:13" s="233" customFormat="1" ht="30.6" customHeight="1" outlineLevel="1" x14ac:dyDescent="0.25">
      <c r="A190" s="623"/>
      <c r="B190" s="655"/>
      <c r="C190" s="358" t="s">
        <v>6</v>
      </c>
      <c r="D190" s="213">
        <v>301.53300000000002</v>
      </c>
      <c r="E190" s="213">
        <v>0</v>
      </c>
      <c r="F190" s="214">
        <f t="shared" si="17"/>
        <v>0</v>
      </c>
      <c r="G190" s="601"/>
      <c r="H190" s="601"/>
      <c r="I190" s="601"/>
      <c r="J190" s="601"/>
      <c r="K190" s="604"/>
      <c r="L190" s="655"/>
      <c r="M190" s="655"/>
    </row>
    <row r="191" spans="1:13" s="233" customFormat="1" ht="43.5" customHeight="1" outlineLevel="1" x14ac:dyDescent="0.25">
      <c r="A191" s="621" t="s">
        <v>210</v>
      </c>
      <c r="B191" s="618" t="s">
        <v>1140</v>
      </c>
      <c r="C191" s="358" t="s">
        <v>3</v>
      </c>
      <c r="D191" s="213">
        <f>SUM(D192:D192)</f>
        <v>46178.012999999999</v>
      </c>
      <c r="E191" s="213">
        <f>SUM(E192:E192)</f>
        <v>45281.710249999996</v>
      </c>
      <c r="F191" s="214">
        <f t="shared" si="17"/>
        <v>0.98059027030894541</v>
      </c>
      <c r="G191" s="599">
        <f>SUM(H191:J192)</f>
        <v>1</v>
      </c>
      <c r="H191" s="599">
        <v>1</v>
      </c>
      <c r="I191" s="599">
        <v>0</v>
      </c>
      <c r="J191" s="599">
        <v>0</v>
      </c>
      <c r="K191" s="602">
        <f>(H191+I191/2)/G191</f>
        <v>1</v>
      </c>
      <c r="L191" s="618" t="s">
        <v>1018</v>
      </c>
      <c r="M191" s="621" t="s">
        <v>41</v>
      </c>
    </row>
    <row r="192" spans="1:13" s="233" customFormat="1" ht="48.75" customHeight="1" outlineLevel="1" x14ac:dyDescent="0.25">
      <c r="A192" s="622"/>
      <c r="B192" s="619"/>
      <c r="C192" s="358" t="s">
        <v>4</v>
      </c>
      <c r="D192" s="213">
        <v>46178.012999999999</v>
      </c>
      <c r="E192" s="213">
        <v>45281.710249999996</v>
      </c>
      <c r="F192" s="214">
        <f t="shared" si="17"/>
        <v>0.98059027030894541</v>
      </c>
      <c r="G192" s="600"/>
      <c r="H192" s="600"/>
      <c r="I192" s="600"/>
      <c r="J192" s="600"/>
      <c r="K192" s="603" t="e">
        <f>(#REF!+#REF!/2)/#REF!</f>
        <v>#REF!</v>
      </c>
      <c r="L192" s="619"/>
      <c r="M192" s="622"/>
    </row>
    <row r="193" spans="1:13" s="233" customFormat="1" ht="27.75" customHeight="1" outlineLevel="1" x14ac:dyDescent="0.25">
      <c r="A193" s="649" t="s">
        <v>212</v>
      </c>
      <c r="B193" s="651" t="s">
        <v>1141</v>
      </c>
      <c r="C193" s="358" t="s">
        <v>3</v>
      </c>
      <c r="D193" s="213">
        <f>SUM(D194:D197)</f>
        <v>226497.72476999997</v>
      </c>
      <c r="E193" s="213">
        <f>SUM(E194:E197)</f>
        <v>220293.61099999998</v>
      </c>
      <c r="F193" s="214">
        <f t="shared" si="17"/>
        <v>0.97260849407516103</v>
      </c>
      <c r="G193" s="663">
        <f>SUM(H193:J193)</f>
        <v>3</v>
      </c>
      <c r="H193" s="663">
        <v>2</v>
      </c>
      <c r="I193" s="663">
        <v>1</v>
      </c>
      <c r="J193" s="663">
        <v>0</v>
      </c>
      <c r="K193" s="647">
        <f>(H193+I193/2)/G193</f>
        <v>0.83333333333333337</v>
      </c>
      <c r="L193" s="651" t="s">
        <v>1606</v>
      </c>
      <c r="M193" s="651" t="s">
        <v>1607</v>
      </c>
    </row>
    <row r="194" spans="1:13" s="233" customFormat="1" ht="27.75" customHeight="1" outlineLevel="1" x14ac:dyDescent="0.25">
      <c r="A194" s="649"/>
      <c r="B194" s="652"/>
      <c r="C194" s="358" t="s">
        <v>4</v>
      </c>
      <c r="D194" s="213">
        <v>30034.695409999997</v>
      </c>
      <c r="E194" s="213">
        <v>24196.90568</v>
      </c>
      <c r="F194" s="214">
        <f t="shared" si="17"/>
        <v>0.80563179848142175</v>
      </c>
      <c r="G194" s="663"/>
      <c r="H194" s="663"/>
      <c r="I194" s="663"/>
      <c r="J194" s="663"/>
      <c r="K194" s="647"/>
      <c r="L194" s="652"/>
      <c r="M194" s="652"/>
    </row>
    <row r="195" spans="1:13" s="233" customFormat="1" ht="27.75" customHeight="1" outlineLevel="1" x14ac:dyDescent="0.25">
      <c r="A195" s="649"/>
      <c r="B195" s="652"/>
      <c r="C195" s="358" t="s">
        <v>5</v>
      </c>
      <c r="D195" s="213">
        <v>168537.09999999998</v>
      </c>
      <c r="E195" s="213">
        <v>168537.09999999998</v>
      </c>
      <c r="F195" s="214">
        <f t="shared" si="17"/>
        <v>1</v>
      </c>
      <c r="G195" s="663"/>
      <c r="H195" s="663"/>
      <c r="I195" s="663"/>
      <c r="J195" s="663"/>
      <c r="K195" s="647"/>
      <c r="L195" s="652"/>
      <c r="M195" s="652"/>
    </row>
    <row r="196" spans="1:13" s="233" customFormat="1" ht="27.75" customHeight="1" outlineLevel="1" x14ac:dyDescent="0.25">
      <c r="A196" s="649"/>
      <c r="B196" s="652"/>
      <c r="C196" s="358" t="s">
        <v>6</v>
      </c>
      <c r="D196" s="213">
        <v>11620.92936</v>
      </c>
      <c r="E196" s="213">
        <v>11254.605320000001</v>
      </c>
      <c r="F196" s="214">
        <f t="shared" si="17"/>
        <v>0.96847721652444507</v>
      </c>
      <c r="G196" s="663"/>
      <c r="H196" s="663"/>
      <c r="I196" s="663"/>
      <c r="J196" s="663"/>
      <c r="K196" s="647"/>
      <c r="L196" s="652"/>
      <c r="M196" s="652"/>
    </row>
    <row r="197" spans="1:13" s="233" customFormat="1" ht="27.75" customHeight="1" outlineLevel="1" x14ac:dyDescent="0.25">
      <c r="A197" s="649"/>
      <c r="B197" s="655"/>
      <c r="C197" s="358" t="s">
        <v>7</v>
      </c>
      <c r="D197" s="213">
        <v>16305</v>
      </c>
      <c r="E197" s="213">
        <v>16305</v>
      </c>
      <c r="F197" s="214">
        <f t="shared" si="17"/>
        <v>1</v>
      </c>
      <c r="G197" s="663"/>
      <c r="H197" s="663"/>
      <c r="I197" s="663"/>
      <c r="J197" s="663"/>
      <c r="K197" s="647"/>
      <c r="L197" s="655"/>
      <c r="M197" s="655"/>
    </row>
    <row r="198" spans="1:13" ht="29.25" customHeight="1" x14ac:dyDescent="0.25">
      <c r="A198" s="624" t="s">
        <v>1894</v>
      </c>
      <c r="B198" s="642" t="s">
        <v>1594</v>
      </c>
      <c r="C198" s="189" t="s">
        <v>3</v>
      </c>
      <c r="D198" s="190">
        <f>SUM(D199:D201)</f>
        <v>12603170.850380002</v>
      </c>
      <c r="E198" s="190">
        <f>SUM(E199:E201)</f>
        <v>11682070.798500001</v>
      </c>
      <c r="F198" s="504">
        <f t="shared" si="15"/>
        <v>0.92691521341613581</v>
      </c>
      <c r="G198" s="630">
        <f>SUM(G202:G210)</f>
        <v>72</v>
      </c>
      <c r="H198" s="630">
        <f>SUM(H202:H210)</f>
        <v>54</v>
      </c>
      <c r="I198" s="630">
        <f>SUM(I202:I210)</f>
        <v>13</v>
      </c>
      <c r="J198" s="630">
        <f>SUM(J202:J210)</f>
        <v>5</v>
      </c>
      <c r="K198" s="633">
        <f>(H198+I198/2)/G198</f>
        <v>0.84027777777777779</v>
      </c>
      <c r="L198" s="636" t="s">
        <v>1601</v>
      </c>
      <c r="M198" s="639"/>
    </row>
    <row r="199" spans="1:13" ht="29.25" customHeight="1" x14ac:dyDescent="0.25">
      <c r="A199" s="625"/>
      <c r="B199" s="643"/>
      <c r="C199" s="192" t="s">
        <v>4</v>
      </c>
      <c r="D199" s="193">
        <f>D203+D207+D209+D210</f>
        <v>11261337.223970002</v>
      </c>
      <c r="E199" s="193">
        <f>E203+E207+E209+E210</f>
        <v>10340677.06464</v>
      </c>
      <c r="F199" s="503">
        <f t="shared" si="15"/>
        <v>0.91824592932264248</v>
      </c>
      <c r="G199" s="631"/>
      <c r="H199" s="631"/>
      <c r="I199" s="631"/>
      <c r="J199" s="631"/>
      <c r="K199" s="634" t="e">
        <f>(#REF!+#REF!/2)/#REF!</f>
        <v>#REF!</v>
      </c>
      <c r="L199" s="637"/>
      <c r="M199" s="640"/>
    </row>
    <row r="200" spans="1:13" ht="29.25" customHeight="1" x14ac:dyDescent="0.25">
      <c r="A200" s="625"/>
      <c r="B200" s="643"/>
      <c r="C200" s="192" t="s">
        <v>5</v>
      </c>
      <c r="D200" s="193">
        <f>D204</f>
        <v>1271413.8999999999</v>
      </c>
      <c r="E200" s="193">
        <f>E204</f>
        <v>1271413.8755299998</v>
      </c>
      <c r="F200" s="503">
        <f t="shared" si="15"/>
        <v>0.99999998075371044</v>
      </c>
      <c r="G200" s="631"/>
      <c r="H200" s="631"/>
      <c r="I200" s="631"/>
      <c r="J200" s="631"/>
      <c r="K200" s="634"/>
      <c r="L200" s="637"/>
      <c r="M200" s="640"/>
    </row>
    <row r="201" spans="1:13" ht="29.25" customHeight="1" x14ac:dyDescent="0.25">
      <c r="A201" s="626"/>
      <c r="B201" s="644"/>
      <c r="C201" s="192" t="s">
        <v>6</v>
      </c>
      <c r="D201" s="193">
        <f>D205+D208</f>
        <v>70419.726410000003</v>
      </c>
      <c r="E201" s="193">
        <f>E205+E208</f>
        <v>69979.858330000003</v>
      </c>
      <c r="F201" s="503">
        <f t="shared" si="15"/>
        <v>0.99375362412743573</v>
      </c>
      <c r="G201" s="632"/>
      <c r="H201" s="632"/>
      <c r="I201" s="632"/>
      <c r="J201" s="632"/>
      <c r="K201" s="635" t="e">
        <f>(K198+K199/2)/#REF!</f>
        <v>#REF!</v>
      </c>
      <c r="L201" s="638"/>
      <c r="M201" s="641"/>
    </row>
    <row r="202" spans="1:13" s="233" customFormat="1" ht="33" customHeight="1" outlineLevel="1" x14ac:dyDescent="0.25">
      <c r="A202" s="621" t="s">
        <v>215</v>
      </c>
      <c r="B202" s="618" t="s">
        <v>1142</v>
      </c>
      <c r="C202" s="358" t="s">
        <v>3</v>
      </c>
      <c r="D202" s="213">
        <f>SUM(D203:D205)</f>
        <v>8720935.506860001</v>
      </c>
      <c r="E202" s="213">
        <f>SUM(E203:E205)</f>
        <v>7865005.3563100016</v>
      </c>
      <c r="F202" s="214">
        <f t="shared" si="15"/>
        <v>0.90185340209468201</v>
      </c>
      <c r="G202" s="599">
        <f>SUM(H202:J205)</f>
        <v>46</v>
      </c>
      <c r="H202" s="599">
        <v>32</v>
      </c>
      <c r="I202" s="599">
        <v>9</v>
      </c>
      <c r="J202" s="599">
        <v>5</v>
      </c>
      <c r="K202" s="602">
        <f>(H202+I202/2)/G202</f>
        <v>0.79347826086956519</v>
      </c>
      <c r="L202" s="618" t="s">
        <v>1596</v>
      </c>
      <c r="M202" s="618" t="s">
        <v>1595</v>
      </c>
    </row>
    <row r="203" spans="1:13" s="233" customFormat="1" ht="33" customHeight="1" outlineLevel="1" x14ac:dyDescent="0.25">
      <c r="A203" s="622"/>
      <c r="B203" s="619"/>
      <c r="C203" s="358" t="s">
        <v>4</v>
      </c>
      <c r="D203" s="235">
        <v>7384924.0536400005</v>
      </c>
      <c r="E203" s="213">
        <v>6528993.9275600016</v>
      </c>
      <c r="F203" s="214">
        <f t="shared" si="15"/>
        <v>0.88409764002134672</v>
      </c>
      <c r="G203" s="600"/>
      <c r="H203" s="600"/>
      <c r="I203" s="600"/>
      <c r="J203" s="600"/>
      <c r="K203" s="603" t="e">
        <f>(#REF!+#REF!/2)/#REF!</f>
        <v>#REF!</v>
      </c>
      <c r="L203" s="619"/>
      <c r="M203" s="619"/>
    </row>
    <row r="204" spans="1:13" s="233" customFormat="1" ht="33" customHeight="1" outlineLevel="1" x14ac:dyDescent="0.25">
      <c r="A204" s="622"/>
      <c r="B204" s="619"/>
      <c r="C204" s="358" t="s">
        <v>5</v>
      </c>
      <c r="D204" s="213">
        <v>1271413.8999999999</v>
      </c>
      <c r="E204" s="213">
        <v>1271413.8755299998</v>
      </c>
      <c r="F204" s="214">
        <f>E204/D204</f>
        <v>0.99999998075371044</v>
      </c>
      <c r="G204" s="600"/>
      <c r="H204" s="600"/>
      <c r="I204" s="600"/>
      <c r="J204" s="600"/>
      <c r="K204" s="603"/>
      <c r="L204" s="619"/>
      <c r="M204" s="619"/>
    </row>
    <row r="205" spans="1:13" s="233" customFormat="1" ht="33" customHeight="1" outlineLevel="1" x14ac:dyDescent="0.25">
      <c r="A205" s="623"/>
      <c r="B205" s="620"/>
      <c r="C205" s="358" t="s">
        <v>6</v>
      </c>
      <c r="D205" s="213">
        <v>64597.553220000002</v>
      </c>
      <c r="E205" s="213">
        <v>64597.553220000002</v>
      </c>
      <c r="F205" s="214">
        <f>E205/D205</f>
        <v>1</v>
      </c>
      <c r="G205" s="601"/>
      <c r="H205" s="601"/>
      <c r="I205" s="601"/>
      <c r="J205" s="601"/>
      <c r="K205" s="604"/>
      <c r="L205" s="620"/>
      <c r="M205" s="620"/>
    </row>
    <row r="206" spans="1:13" s="233" customFormat="1" ht="48" customHeight="1" outlineLevel="1" x14ac:dyDescent="0.25">
      <c r="A206" s="660" t="s">
        <v>216</v>
      </c>
      <c r="B206" s="618" t="s">
        <v>1143</v>
      </c>
      <c r="C206" s="358" t="s">
        <v>3</v>
      </c>
      <c r="D206" s="213">
        <f>SUM(D207:D208)</f>
        <v>3262069.8528499994</v>
      </c>
      <c r="E206" s="213">
        <f>SUM(E207:E208)</f>
        <v>3253801.5080400007</v>
      </c>
      <c r="F206" s="214">
        <f t="shared" si="15"/>
        <v>0.99746530724877802</v>
      </c>
      <c r="G206" s="599">
        <f>SUM(H206:J208)</f>
        <v>12</v>
      </c>
      <c r="H206" s="599">
        <v>11</v>
      </c>
      <c r="I206" s="599">
        <v>1</v>
      </c>
      <c r="J206" s="599">
        <v>0</v>
      </c>
      <c r="K206" s="602">
        <f>(H206+I206/2)/G206</f>
        <v>0.95833333333333337</v>
      </c>
      <c r="L206" s="618" t="s">
        <v>1597</v>
      </c>
      <c r="M206" s="621" t="s">
        <v>41</v>
      </c>
    </row>
    <row r="207" spans="1:13" s="233" customFormat="1" ht="40.5" customHeight="1" outlineLevel="1" x14ac:dyDescent="0.25">
      <c r="A207" s="661"/>
      <c r="B207" s="619"/>
      <c r="C207" s="358" t="s">
        <v>4</v>
      </c>
      <c r="D207" s="213">
        <v>3256247.6796599994</v>
      </c>
      <c r="E207" s="213">
        <v>3248419.2029300006</v>
      </c>
      <c r="F207" s="214">
        <f t="shared" si="15"/>
        <v>0.99759585955979357</v>
      </c>
      <c r="G207" s="600"/>
      <c r="H207" s="600"/>
      <c r="I207" s="600"/>
      <c r="J207" s="600"/>
      <c r="K207" s="603" t="e">
        <f>(#REF!+#REF!/2)/#REF!</f>
        <v>#REF!</v>
      </c>
      <c r="L207" s="619"/>
      <c r="M207" s="622"/>
    </row>
    <row r="208" spans="1:13" s="233" customFormat="1" ht="33" customHeight="1" outlineLevel="1" x14ac:dyDescent="0.25">
      <c r="A208" s="662"/>
      <c r="B208" s="620"/>
      <c r="C208" s="358" t="s">
        <v>6</v>
      </c>
      <c r="D208" s="213">
        <v>5822.1731900000004</v>
      </c>
      <c r="E208" s="213">
        <v>5382.3051099999993</v>
      </c>
      <c r="F208" s="214">
        <f t="shared" si="15"/>
        <v>0.92444950267788217</v>
      </c>
      <c r="G208" s="601"/>
      <c r="H208" s="601"/>
      <c r="I208" s="601"/>
      <c r="J208" s="601"/>
      <c r="K208" s="604" t="e">
        <f>(K206+K207/2)/#REF!</f>
        <v>#REF!</v>
      </c>
      <c r="L208" s="620"/>
      <c r="M208" s="623"/>
    </row>
    <row r="209" spans="1:13" s="233" customFormat="1" ht="81" customHeight="1" outlineLevel="1" x14ac:dyDescent="0.25">
      <c r="A209" s="358" t="s">
        <v>217</v>
      </c>
      <c r="B209" s="234" t="s">
        <v>223</v>
      </c>
      <c r="C209" s="358" t="s">
        <v>4</v>
      </c>
      <c r="D209" s="213">
        <v>134402.95584000001</v>
      </c>
      <c r="E209" s="213">
        <v>92071.097500000003</v>
      </c>
      <c r="F209" s="214">
        <f t="shared" si="15"/>
        <v>0.68503774284254604</v>
      </c>
      <c r="G209" s="355">
        <f>SUM(H209:J209)</f>
        <v>10</v>
      </c>
      <c r="H209" s="355">
        <v>8</v>
      </c>
      <c r="I209" s="355">
        <v>2</v>
      </c>
      <c r="J209" s="355">
        <v>0</v>
      </c>
      <c r="K209" s="356">
        <f>(H209+I209/2)/G209</f>
        <v>0.9</v>
      </c>
      <c r="L209" s="354" t="s">
        <v>1598</v>
      </c>
      <c r="M209" s="357" t="s">
        <v>1599</v>
      </c>
    </row>
    <row r="210" spans="1:13" s="233" customFormat="1" ht="137.25" customHeight="1" outlineLevel="1" x14ac:dyDescent="0.25">
      <c r="A210" s="358" t="s">
        <v>218</v>
      </c>
      <c r="B210" s="234" t="s">
        <v>191</v>
      </c>
      <c r="C210" s="358" t="s">
        <v>4</v>
      </c>
      <c r="D210" s="213">
        <v>485762.53483000002</v>
      </c>
      <c r="E210" s="213">
        <v>471192.83664999995</v>
      </c>
      <c r="F210" s="214">
        <f t="shared" si="15"/>
        <v>0.97000654201316916</v>
      </c>
      <c r="G210" s="355">
        <f>SUM(H210:J210)</f>
        <v>4</v>
      </c>
      <c r="H210" s="355">
        <v>3</v>
      </c>
      <c r="I210" s="355">
        <v>1</v>
      </c>
      <c r="J210" s="355">
        <v>0</v>
      </c>
      <c r="K210" s="356">
        <f>(H210+I210/2)/G210</f>
        <v>0.875</v>
      </c>
      <c r="L210" s="354" t="s">
        <v>1144</v>
      </c>
      <c r="M210" s="354" t="s">
        <v>1600</v>
      </c>
    </row>
    <row r="211" spans="1:13" ht="30" customHeight="1" x14ac:dyDescent="0.25">
      <c r="A211" s="624" t="s">
        <v>219</v>
      </c>
      <c r="B211" s="627" t="s">
        <v>1021</v>
      </c>
      <c r="C211" s="189" t="s">
        <v>3</v>
      </c>
      <c r="D211" s="190">
        <f>SUM(D212:D215)</f>
        <v>2535313.5288299997</v>
      </c>
      <c r="E211" s="190">
        <f>SUM(E212:E215)</f>
        <v>750740.18331999995</v>
      </c>
      <c r="F211" s="504">
        <f t="shared" si="15"/>
        <v>0.29611335039357151</v>
      </c>
      <c r="G211" s="743">
        <f>SUM(G216:G230)</f>
        <v>49</v>
      </c>
      <c r="H211" s="743">
        <f>SUM(H216:H230)</f>
        <v>43</v>
      </c>
      <c r="I211" s="743">
        <f>SUM(I216:I230)</f>
        <v>4</v>
      </c>
      <c r="J211" s="743">
        <f>SUM(J216:J230)</f>
        <v>2</v>
      </c>
      <c r="K211" s="633">
        <f>(H211+I211/2)/G211</f>
        <v>0.91836734693877553</v>
      </c>
      <c r="L211" s="741" t="s">
        <v>1398</v>
      </c>
      <c r="M211" s="739"/>
    </row>
    <row r="212" spans="1:13" ht="30" customHeight="1" x14ac:dyDescent="0.25">
      <c r="A212" s="625"/>
      <c r="B212" s="628"/>
      <c r="C212" s="192" t="s">
        <v>4</v>
      </c>
      <c r="D212" s="193">
        <f>D217+D221+D225+D228+D230</f>
        <v>2393471.0688299998</v>
      </c>
      <c r="E212" s="193">
        <f>E217+E221+E225+E228+E230</f>
        <v>647126.94790999999</v>
      </c>
      <c r="F212" s="503">
        <f t="shared" si="15"/>
        <v>0.27037174434129885</v>
      </c>
      <c r="G212" s="744"/>
      <c r="H212" s="744"/>
      <c r="I212" s="744"/>
      <c r="J212" s="744"/>
      <c r="K212" s="634"/>
      <c r="L212" s="742"/>
      <c r="M212" s="740"/>
    </row>
    <row r="213" spans="1:13" ht="30" customHeight="1" x14ac:dyDescent="0.25">
      <c r="A213" s="625"/>
      <c r="B213" s="628"/>
      <c r="C213" s="192" t="s">
        <v>5</v>
      </c>
      <c r="D213" s="193">
        <f>D218+D222+D226</f>
        <v>126733.7</v>
      </c>
      <c r="E213" s="193">
        <f>E218+E222+E226</f>
        <v>103536.73541000001</v>
      </c>
      <c r="F213" s="503">
        <f t="shared" si="15"/>
        <v>0.81696293416825994</v>
      </c>
      <c r="G213" s="744"/>
      <c r="H213" s="744"/>
      <c r="I213" s="744"/>
      <c r="J213" s="744"/>
      <c r="K213" s="634"/>
      <c r="L213" s="742"/>
      <c r="M213" s="740"/>
    </row>
    <row r="214" spans="1:13" ht="30" customHeight="1" x14ac:dyDescent="0.25">
      <c r="A214" s="625"/>
      <c r="B214" s="628"/>
      <c r="C214" s="192" t="s">
        <v>6</v>
      </c>
      <c r="D214" s="193">
        <f>D219</f>
        <v>14977.960000000001</v>
      </c>
      <c r="E214" s="193">
        <f>E219</f>
        <v>0</v>
      </c>
      <c r="F214" s="503">
        <f t="shared" si="15"/>
        <v>0</v>
      </c>
      <c r="G214" s="744"/>
      <c r="H214" s="744"/>
      <c r="I214" s="744"/>
      <c r="J214" s="744"/>
      <c r="K214" s="634"/>
      <c r="L214" s="742"/>
      <c r="M214" s="740"/>
    </row>
    <row r="215" spans="1:13" ht="30" customHeight="1" x14ac:dyDescent="0.25">
      <c r="A215" s="625"/>
      <c r="B215" s="628"/>
      <c r="C215" s="192" t="s">
        <v>7</v>
      </c>
      <c r="D215" s="193">
        <f>D223</f>
        <v>130.80000000000001</v>
      </c>
      <c r="E215" s="193">
        <f>E223</f>
        <v>76.5</v>
      </c>
      <c r="F215" s="503">
        <f t="shared" ref="F215:F260" si="18">E215/D215</f>
        <v>0.58486238532110091</v>
      </c>
      <c r="G215" s="744"/>
      <c r="H215" s="744"/>
      <c r="I215" s="744"/>
      <c r="J215" s="744"/>
      <c r="K215" s="634"/>
      <c r="L215" s="742"/>
      <c r="M215" s="740"/>
    </row>
    <row r="216" spans="1:13" ht="41.25" customHeight="1" outlineLevel="1" x14ac:dyDescent="0.25">
      <c r="A216" s="621" t="s">
        <v>220</v>
      </c>
      <c r="B216" s="651" t="s">
        <v>1022</v>
      </c>
      <c r="C216" s="358" t="s">
        <v>3</v>
      </c>
      <c r="D216" s="213">
        <f>SUM(D217:D219)</f>
        <v>1854504.65405</v>
      </c>
      <c r="E216" s="213">
        <f>SUM(E217:E219)</f>
        <v>123038.51995</v>
      </c>
      <c r="F216" s="214">
        <f>E216/D216</f>
        <v>6.6345759597475087E-2</v>
      </c>
      <c r="G216" s="653">
        <f>SUM(H216:J216)</f>
        <v>9</v>
      </c>
      <c r="H216" s="653">
        <v>6</v>
      </c>
      <c r="I216" s="653">
        <v>1</v>
      </c>
      <c r="J216" s="653">
        <v>2</v>
      </c>
      <c r="K216" s="602">
        <f>(H216+I216/2)/G216</f>
        <v>0.72222222222222221</v>
      </c>
      <c r="L216" s="651" t="s">
        <v>1392</v>
      </c>
      <c r="M216" s="657" t="s">
        <v>1393</v>
      </c>
    </row>
    <row r="217" spans="1:13" ht="41.25" customHeight="1" outlineLevel="1" x14ac:dyDescent="0.25">
      <c r="A217" s="622"/>
      <c r="B217" s="652"/>
      <c r="C217" s="358" t="s">
        <v>4</v>
      </c>
      <c r="D217" s="213">
        <v>1833383.59405</v>
      </c>
      <c r="E217" s="213">
        <v>116895.41995</v>
      </c>
      <c r="F217" s="214">
        <f t="shared" ref="F217:F219" si="19">E217/D217</f>
        <v>6.3759390194920676E-2</v>
      </c>
      <c r="G217" s="654"/>
      <c r="H217" s="654"/>
      <c r="I217" s="654"/>
      <c r="J217" s="654"/>
      <c r="K217" s="603"/>
      <c r="L217" s="652"/>
      <c r="M217" s="658"/>
    </row>
    <row r="218" spans="1:13" ht="36" customHeight="1" outlineLevel="1" x14ac:dyDescent="0.25">
      <c r="A218" s="622"/>
      <c r="B218" s="652"/>
      <c r="C218" s="358" t="s">
        <v>5</v>
      </c>
      <c r="D218" s="213">
        <v>6143.1</v>
      </c>
      <c r="E218" s="213">
        <v>6143.1</v>
      </c>
      <c r="F218" s="214">
        <f t="shared" si="19"/>
        <v>1</v>
      </c>
      <c r="G218" s="654"/>
      <c r="H218" s="654"/>
      <c r="I218" s="654"/>
      <c r="J218" s="654"/>
      <c r="K218" s="603"/>
      <c r="L218" s="652"/>
      <c r="M218" s="658"/>
    </row>
    <row r="219" spans="1:13" ht="36" customHeight="1" outlineLevel="1" x14ac:dyDescent="0.25">
      <c r="A219" s="623"/>
      <c r="B219" s="655"/>
      <c r="C219" s="421" t="s">
        <v>6</v>
      </c>
      <c r="D219" s="213">
        <v>14977.960000000001</v>
      </c>
      <c r="E219" s="213">
        <v>0</v>
      </c>
      <c r="F219" s="214">
        <f t="shared" si="19"/>
        <v>0</v>
      </c>
      <c r="G219" s="656"/>
      <c r="H219" s="656"/>
      <c r="I219" s="656"/>
      <c r="J219" s="656"/>
      <c r="K219" s="604"/>
      <c r="L219" s="655"/>
      <c r="M219" s="659"/>
    </row>
    <row r="220" spans="1:13" ht="33" customHeight="1" outlineLevel="1" x14ac:dyDescent="0.25">
      <c r="A220" s="621" t="s">
        <v>221</v>
      </c>
      <c r="B220" s="618" t="s">
        <v>10</v>
      </c>
      <c r="C220" s="358" t="s">
        <v>3</v>
      </c>
      <c r="D220" s="213">
        <f>SUM(D221:D223)</f>
        <v>299745.33080999996</v>
      </c>
      <c r="E220" s="213">
        <f>SUM(E221:E223)</f>
        <v>262293.55252999999</v>
      </c>
      <c r="F220" s="214">
        <f t="shared" si="18"/>
        <v>0.87505467331619724</v>
      </c>
      <c r="G220" s="653">
        <f>SUM(H220:J223)</f>
        <v>20</v>
      </c>
      <c r="H220" s="653">
        <v>19</v>
      </c>
      <c r="I220" s="653">
        <v>1</v>
      </c>
      <c r="J220" s="653">
        <v>0</v>
      </c>
      <c r="K220" s="602">
        <f>(H220+I220/2)/G220</f>
        <v>0.97499999999999998</v>
      </c>
      <c r="L220" s="618" t="s">
        <v>1394</v>
      </c>
      <c r="M220" s="618" t="s">
        <v>1395</v>
      </c>
    </row>
    <row r="221" spans="1:13" ht="33" customHeight="1" outlineLevel="1" x14ac:dyDescent="0.25">
      <c r="A221" s="622"/>
      <c r="B221" s="619"/>
      <c r="C221" s="358" t="s">
        <v>4</v>
      </c>
      <c r="D221" s="213">
        <v>215095.43080999996</v>
      </c>
      <c r="E221" s="213">
        <v>200894.91712</v>
      </c>
      <c r="F221" s="214">
        <f t="shared" si="18"/>
        <v>0.93398040285410022</v>
      </c>
      <c r="G221" s="654"/>
      <c r="H221" s="654"/>
      <c r="I221" s="654"/>
      <c r="J221" s="654"/>
      <c r="K221" s="603" t="e">
        <f>(#REF!+#REF!/2)/#REF!</f>
        <v>#REF!</v>
      </c>
      <c r="L221" s="619"/>
      <c r="M221" s="619"/>
    </row>
    <row r="222" spans="1:13" ht="33" customHeight="1" outlineLevel="1" x14ac:dyDescent="0.25">
      <c r="A222" s="622"/>
      <c r="B222" s="619"/>
      <c r="C222" s="358" t="s">
        <v>5</v>
      </c>
      <c r="D222" s="213">
        <v>84519.099999999991</v>
      </c>
      <c r="E222" s="213">
        <v>61322.135410000003</v>
      </c>
      <c r="F222" s="214">
        <f t="shared" si="18"/>
        <v>0.72554174630349832</v>
      </c>
      <c r="G222" s="654"/>
      <c r="H222" s="654"/>
      <c r="I222" s="654"/>
      <c r="J222" s="654"/>
      <c r="K222" s="603"/>
      <c r="L222" s="619"/>
      <c r="M222" s="619"/>
    </row>
    <row r="223" spans="1:13" ht="33" customHeight="1" outlineLevel="1" x14ac:dyDescent="0.25">
      <c r="A223" s="623"/>
      <c r="B223" s="620"/>
      <c r="C223" s="358" t="s">
        <v>7</v>
      </c>
      <c r="D223" s="213">
        <v>130.80000000000001</v>
      </c>
      <c r="E223" s="213">
        <v>76.5</v>
      </c>
      <c r="F223" s="214">
        <f t="shared" si="18"/>
        <v>0.58486238532110091</v>
      </c>
      <c r="G223" s="656"/>
      <c r="H223" s="656"/>
      <c r="I223" s="656"/>
      <c r="J223" s="656"/>
      <c r="K223" s="604" t="e">
        <f>(#REF!+K220/2)/#REF!</f>
        <v>#REF!</v>
      </c>
      <c r="L223" s="620"/>
      <c r="M223" s="620"/>
    </row>
    <row r="224" spans="1:13" ht="31.5" customHeight="1" outlineLevel="1" x14ac:dyDescent="0.25">
      <c r="A224" s="649" t="s">
        <v>222</v>
      </c>
      <c r="B224" s="648" t="s">
        <v>1080</v>
      </c>
      <c r="C224" s="358" t="s">
        <v>3</v>
      </c>
      <c r="D224" s="213">
        <f>SUM(D225:D226)</f>
        <v>74609.21617</v>
      </c>
      <c r="E224" s="213">
        <f>SUM(E225:E226)</f>
        <v>73584.056169999996</v>
      </c>
      <c r="F224" s="214">
        <f>E224/D224</f>
        <v>0.98625960635125642</v>
      </c>
      <c r="G224" s="650">
        <f>SUM(H224:J224)</f>
        <v>7</v>
      </c>
      <c r="H224" s="650">
        <v>6</v>
      </c>
      <c r="I224" s="650">
        <v>1</v>
      </c>
      <c r="J224" s="650">
        <v>0</v>
      </c>
      <c r="K224" s="647">
        <f>(H224+I224/2)/G224</f>
        <v>0.9285714285714286</v>
      </c>
      <c r="L224" s="648" t="s">
        <v>1191</v>
      </c>
      <c r="M224" s="657" t="s">
        <v>1396</v>
      </c>
    </row>
    <row r="225" spans="1:13" ht="31.5" customHeight="1" outlineLevel="1" x14ac:dyDescent="0.25">
      <c r="A225" s="649"/>
      <c r="B225" s="648"/>
      <c r="C225" s="358" t="s">
        <v>4</v>
      </c>
      <c r="D225" s="213">
        <v>38537.71617</v>
      </c>
      <c r="E225" s="213">
        <v>37512.556170000003</v>
      </c>
      <c r="F225" s="214">
        <f t="shared" ref="F225:F226" si="20">E225/D225</f>
        <v>0.97339852741979449</v>
      </c>
      <c r="G225" s="650"/>
      <c r="H225" s="650"/>
      <c r="I225" s="650"/>
      <c r="J225" s="650"/>
      <c r="K225" s="647"/>
      <c r="L225" s="648"/>
      <c r="M225" s="658"/>
    </row>
    <row r="226" spans="1:13" ht="31.5" customHeight="1" outlineLevel="1" x14ac:dyDescent="0.25">
      <c r="A226" s="649"/>
      <c r="B226" s="648"/>
      <c r="C226" s="358" t="s">
        <v>5</v>
      </c>
      <c r="D226" s="213">
        <v>36071.5</v>
      </c>
      <c r="E226" s="213">
        <v>36071.5</v>
      </c>
      <c r="F226" s="214">
        <f t="shared" si="20"/>
        <v>1</v>
      </c>
      <c r="G226" s="650"/>
      <c r="H226" s="650"/>
      <c r="I226" s="650"/>
      <c r="J226" s="650"/>
      <c r="K226" s="647"/>
      <c r="L226" s="648"/>
      <c r="M226" s="658"/>
    </row>
    <row r="227" spans="1:13" ht="37.5" customHeight="1" outlineLevel="1" x14ac:dyDescent="0.25">
      <c r="A227" s="621" t="s">
        <v>224</v>
      </c>
      <c r="B227" s="651" t="s">
        <v>1104</v>
      </c>
      <c r="C227" s="358" t="s">
        <v>3</v>
      </c>
      <c r="D227" s="213">
        <f>D228</f>
        <v>11793.422119999999</v>
      </c>
      <c r="E227" s="213">
        <f>E228</f>
        <v>1924.12</v>
      </c>
      <c r="F227" s="214">
        <f t="shared" si="18"/>
        <v>0.16315196559758177</v>
      </c>
      <c r="G227" s="653">
        <f>SUM(H227:J227)</f>
        <v>4</v>
      </c>
      <c r="H227" s="653">
        <v>3</v>
      </c>
      <c r="I227" s="653">
        <v>1</v>
      </c>
      <c r="J227" s="653">
        <v>0</v>
      </c>
      <c r="K227" s="602">
        <f>(H227+I227/2)/G227</f>
        <v>0.875</v>
      </c>
      <c r="L227" s="651" t="s">
        <v>1397</v>
      </c>
      <c r="M227" s="651" t="s">
        <v>2094</v>
      </c>
    </row>
    <row r="228" spans="1:13" ht="60.75" customHeight="1" outlineLevel="1" x14ac:dyDescent="0.25">
      <c r="A228" s="622"/>
      <c r="B228" s="652"/>
      <c r="C228" s="358" t="s">
        <v>4</v>
      </c>
      <c r="D228" s="213">
        <v>11793.422119999999</v>
      </c>
      <c r="E228" s="213">
        <v>1924.12</v>
      </c>
      <c r="F228" s="214">
        <f t="shared" si="18"/>
        <v>0.16315196559758177</v>
      </c>
      <c r="G228" s="654"/>
      <c r="H228" s="654"/>
      <c r="I228" s="654"/>
      <c r="J228" s="654"/>
      <c r="K228" s="603"/>
      <c r="L228" s="652"/>
      <c r="M228" s="652"/>
    </row>
    <row r="229" spans="1:13" ht="33" customHeight="1" outlineLevel="1" x14ac:dyDescent="0.25">
      <c r="A229" s="649" t="s">
        <v>1895</v>
      </c>
      <c r="B229" s="648" t="s">
        <v>1081</v>
      </c>
      <c r="C229" s="358" t="s">
        <v>3</v>
      </c>
      <c r="D229" s="213">
        <f>SUM(D230:D230)</f>
        <v>294660.90568000003</v>
      </c>
      <c r="E229" s="213">
        <f>SUM(E230:E230)</f>
        <v>289899.93466999999</v>
      </c>
      <c r="F229" s="214">
        <f>E229/D229</f>
        <v>0.98384254267116644</v>
      </c>
      <c r="G229" s="650">
        <f>SUM(H229:J229)</f>
        <v>9</v>
      </c>
      <c r="H229" s="650">
        <v>9</v>
      </c>
      <c r="I229" s="650">
        <v>0</v>
      </c>
      <c r="J229" s="650">
        <v>0</v>
      </c>
      <c r="K229" s="647">
        <f>(H229+I229/2)/G229</f>
        <v>1</v>
      </c>
      <c r="L229" s="648" t="s">
        <v>2095</v>
      </c>
      <c r="M229" s="649" t="s">
        <v>41</v>
      </c>
    </row>
    <row r="230" spans="1:13" ht="42" customHeight="1" outlineLevel="1" x14ac:dyDescent="0.25">
      <c r="A230" s="649"/>
      <c r="B230" s="648"/>
      <c r="C230" s="358" t="s">
        <v>4</v>
      </c>
      <c r="D230" s="213">
        <v>294660.90568000003</v>
      </c>
      <c r="E230" s="213">
        <v>289899.93466999999</v>
      </c>
      <c r="F230" s="214">
        <f t="shared" ref="F230" si="21">E230/D230</f>
        <v>0.98384254267116644</v>
      </c>
      <c r="G230" s="650"/>
      <c r="H230" s="650"/>
      <c r="I230" s="650"/>
      <c r="J230" s="650"/>
      <c r="K230" s="647"/>
      <c r="L230" s="648"/>
      <c r="M230" s="649"/>
    </row>
    <row r="231" spans="1:13" s="195" customFormat="1" ht="24" customHeight="1" x14ac:dyDescent="0.25">
      <c r="A231" s="624" t="s">
        <v>225</v>
      </c>
      <c r="B231" s="627" t="s">
        <v>1023</v>
      </c>
      <c r="C231" s="189" t="s">
        <v>3</v>
      </c>
      <c r="D231" s="190">
        <f>SUM(D232:D233)</f>
        <v>1906675.5078399999</v>
      </c>
      <c r="E231" s="190">
        <f>SUM(E232:E233)</f>
        <v>1883982.02568</v>
      </c>
      <c r="F231" s="504">
        <f t="shared" si="18"/>
        <v>0.98809787923184245</v>
      </c>
      <c r="G231" s="630">
        <f>SUM(G234:G237)</f>
        <v>23</v>
      </c>
      <c r="H231" s="630">
        <f>SUM(H234:H237)</f>
        <v>17</v>
      </c>
      <c r="I231" s="630">
        <f>SUM(I234:I237)</f>
        <v>5</v>
      </c>
      <c r="J231" s="630">
        <f>SUM(J234:J237)</f>
        <v>1</v>
      </c>
      <c r="K231" s="633">
        <f>(H231+I231/2)/G231</f>
        <v>0.84782608695652173</v>
      </c>
      <c r="L231" s="636" t="s">
        <v>1452</v>
      </c>
      <c r="M231" s="639"/>
    </row>
    <row r="232" spans="1:13" ht="24" customHeight="1" x14ac:dyDescent="0.25">
      <c r="A232" s="625"/>
      <c r="B232" s="628"/>
      <c r="C232" s="192" t="s">
        <v>4</v>
      </c>
      <c r="D232" s="193">
        <f>D235+D237</f>
        <v>1903581.2078399998</v>
      </c>
      <c r="E232" s="193">
        <f>E235+E237</f>
        <v>1883982.02568</v>
      </c>
      <c r="F232" s="503">
        <f t="shared" si="18"/>
        <v>0.98970404725615091</v>
      </c>
      <c r="G232" s="631"/>
      <c r="H232" s="631"/>
      <c r="I232" s="631"/>
      <c r="J232" s="631"/>
      <c r="K232" s="634"/>
      <c r="L232" s="637"/>
      <c r="M232" s="640"/>
    </row>
    <row r="233" spans="1:13" ht="24" customHeight="1" x14ac:dyDescent="0.25">
      <c r="A233" s="625"/>
      <c r="B233" s="628"/>
      <c r="C233" s="192" t="s">
        <v>5</v>
      </c>
      <c r="D233" s="193">
        <f>D236</f>
        <v>3094.3</v>
      </c>
      <c r="E233" s="193">
        <f>E236</f>
        <v>0</v>
      </c>
      <c r="F233" s="503">
        <f t="shared" si="18"/>
        <v>0</v>
      </c>
      <c r="G233" s="631"/>
      <c r="H233" s="631"/>
      <c r="I233" s="631"/>
      <c r="J233" s="631"/>
      <c r="K233" s="634"/>
      <c r="L233" s="637"/>
      <c r="M233" s="640"/>
    </row>
    <row r="234" spans="1:13" s="233" customFormat="1" ht="35.25" customHeight="1" outlineLevel="1" x14ac:dyDescent="0.25">
      <c r="A234" s="621" t="s">
        <v>226</v>
      </c>
      <c r="B234" s="618" t="s">
        <v>1145</v>
      </c>
      <c r="C234" s="358" t="s">
        <v>3</v>
      </c>
      <c r="D234" s="236">
        <f>SUM(D235:D236)</f>
        <v>1201393.6410299998</v>
      </c>
      <c r="E234" s="236">
        <f>SUM(E235:E236)</f>
        <v>1185077.85999</v>
      </c>
      <c r="F234" s="214">
        <f t="shared" si="18"/>
        <v>0.98641928799788581</v>
      </c>
      <c r="G234" s="599">
        <f>SUM(H234:J236)</f>
        <v>20</v>
      </c>
      <c r="H234" s="599">
        <v>14</v>
      </c>
      <c r="I234" s="599">
        <v>5</v>
      </c>
      <c r="J234" s="599">
        <v>1</v>
      </c>
      <c r="K234" s="602">
        <f>(H234+I234/2)/G234</f>
        <v>0.82499999999999996</v>
      </c>
      <c r="L234" s="618" t="s">
        <v>1452</v>
      </c>
      <c r="M234" s="645" t="s">
        <v>1453</v>
      </c>
    </row>
    <row r="235" spans="1:13" s="233" customFormat="1" ht="35.25" customHeight="1" outlineLevel="1" x14ac:dyDescent="0.25">
      <c r="A235" s="622"/>
      <c r="B235" s="619"/>
      <c r="C235" s="358" t="s">
        <v>4</v>
      </c>
      <c r="D235" s="236">
        <v>1198299.3410299998</v>
      </c>
      <c r="E235" s="236">
        <v>1185077.85999</v>
      </c>
      <c r="F235" s="214">
        <f t="shared" si="18"/>
        <v>0.98896646222918294</v>
      </c>
      <c r="G235" s="600"/>
      <c r="H235" s="600"/>
      <c r="I235" s="600"/>
      <c r="J235" s="600"/>
      <c r="K235" s="603"/>
      <c r="L235" s="619"/>
      <c r="M235" s="646"/>
    </row>
    <row r="236" spans="1:13" s="233" customFormat="1" ht="35.25" customHeight="1" outlineLevel="1" x14ac:dyDescent="0.25">
      <c r="A236" s="622"/>
      <c r="B236" s="619"/>
      <c r="C236" s="358" t="s">
        <v>5</v>
      </c>
      <c r="D236" s="236">
        <v>3094.3</v>
      </c>
      <c r="E236" s="236">
        <v>0</v>
      </c>
      <c r="F236" s="214">
        <f t="shared" si="18"/>
        <v>0</v>
      </c>
      <c r="G236" s="600"/>
      <c r="H236" s="600"/>
      <c r="I236" s="600"/>
      <c r="J236" s="600"/>
      <c r="K236" s="603"/>
      <c r="L236" s="619"/>
      <c r="M236" s="646"/>
    </row>
    <row r="237" spans="1:13" s="233" customFormat="1" ht="118.5" customHeight="1" outlineLevel="1" x14ac:dyDescent="0.25">
      <c r="A237" s="217" t="s">
        <v>227</v>
      </c>
      <c r="B237" s="221" t="s">
        <v>1146</v>
      </c>
      <c r="C237" s="237" t="s">
        <v>4</v>
      </c>
      <c r="D237" s="218">
        <v>705281.86681000004</v>
      </c>
      <c r="E237" s="218">
        <v>698904.16569000005</v>
      </c>
      <c r="F237" s="214">
        <f t="shared" si="18"/>
        <v>0.99095723083191345</v>
      </c>
      <c r="G237" s="355">
        <f>SUM(H237:J237)</f>
        <v>3</v>
      </c>
      <c r="H237" s="355">
        <v>3</v>
      </c>
      <c r="I237" s="355">
        <v>0</v>
      </c>
      <c r="J237" s="355">
        <v>0</v>
      </c>
      <c r="K237" s="356">
        <f>(H237+I237/2)/G237</f>
        <v>1</v>
      </c>
      <c r="L237" s="363" t="s">
        <v>1454</v>
      </c>
      <c r="M237" s="237" t="s">
        <v>41</v>
      </c>
    </row>
    <row r="238" spans="1:13" ht="38.25" customHeight="1" x14ac:dyDescent="0.25">
      <c r="A238" s="624" t="s">
        <v>228</v>
      </c>
      <c r="B238" s="642" t="s">
        <v>1089</v>
      </c>
      <c r="C238" s="189" t="s">
        <v>3</v>
      </c>
      <c r="D238" s="190">
        <f>SUM(D239:D240)</f>
        <v>10715824.79575</v>
      </c>
      <c r="E238" s="190">
        <f>SUM(E239:E240)</f>
        <v>10495421.89579</v>
      </c>
      <c r="F238" s="504">
        <f t="shared" si="18"/>
        <v>0.97943201721183293</v>
      </c>
      <c r="G238" s="630">
        <f>SUM(G241:G246)</f>
        <v>23</v>
      </c>
      <c r="H238" s="630">
        <f>SUM(H241:H246)</f>
        <v>22</v>
      </c>
      <c r="I238" s="630">
        <f>SUM(I241:I246)</f>
        <v>1</v>
      </c>
      <c r="J238" s="630">
        <f>SUM(J241:J246)</f>
        <v>0</v>
      </c>
      <c r="K238" s="633">
        <f>(H238+I238/2)/G238</f>
        <v>0.97826086956521741</v>
      </c>
      <c r="L238" s="636" t="s">
        <v>1152</v>
      </c>
      <c r="M238" s="639"/>
    </row>
    <row r="239" spans="1:13" ht="38.25" customHeight="1" x14ac:dyDescent="0.25">
      <c r="A239" s="625"/>
      <c r="B239" s="643"/>
      <c r="C239" s="192" t="s">
        <v>4</v>
      </c>
      <c r="D239" s="193">
        <f>D241+D243+D245+D246</f>
        <v>9125780.7957499996</v>
      </c>
      <c r="E239" s="193">
        <f>E241+E243+E245+E246</f>
        <v>8905377.8957899995</v>
      </c>
      <c r="F239" s="503">
        <f t="shared" si="18"/>
        <v>0.97584832411680933</v>
      </c>
      <c r="G239" s="631"/>
      <c r="H239" s="631"/>
      <c r="I239" s="631"/>
      <c r="J239" s="631"/>
      <c r="K239" s="634" t="e">
        <f>(#REF!+#REF!/2)/#REF!</f>
        <v>#REF!</v>
      </c>
      <c r="L239" s="637"/>
      <c r="M239" s="640"/>
    </row>
    <row r="240" spans="1:13" ht="38.25" customHeight="1" x14ac:dyDescent="0.25">
      <c r="A240" s="626"/>
      <c r="B240" s="644"/>
      <c r="C240" s="192" t="s">
        <v>5</v>
      </c>
      <c r="D240" s="193">
        <f>D244</f>
        <v>1590044</v>
      </c>
      <c r="E240" s="193">
        <f>E244</f>
        <v>1590044</v>
      </c>
      <c r="F240" s="503">
        <f t="shared" si="18"/>
        <v>1</v>
      </c>
      <c r="G240" s="632"/>
      <c r="H240" s="632"/>
      <c r="I240" s="632"/>
      <c r="J240" s="632"/>
      <c r="K240" s="635" t="e">
        <f>(#REF!+K238/2)/#REF!</f>
        <v>#REF!</v>
      </c>
      <c r="L240" s="638"/>
      <c r="M240" s="641"/>
    </row>
    <row r="241" spans="1:13" s="233" customFormat="1" ht="84" customHeight="1" outlineLevel="1" x14ac:dyDescent="0.25">
      <c r="A241" s="358" t="s">
        <v>229</v>
      </c>
      <c r="B241" s="234" t="s">
        <v>1147</v>
      </c>
      <c r="C241" s="358" t="s">
        <v>4</v>
      </c>
      <c r="D241" s="213">
        <v>524846.49534000002</v>
      </c>
      <c r="E241" s="213">
        <v>305847.83960000001</v>
      </c>
      <c r="F241" s="214">
        <f t="shared" si="18"/>
        <v>0.58273770010004389</v>
      </c>
      <c r="G241" s="355">
        <f>SUM(H241:J241)</f>
        <v>8</v>
      </c>
      <c r="H241" s="355">
        <v>7</v>
      </c>
      <c r="I241" s="355">
        <v>1</v>
      </c>
      <c r="J241" s="355">
        <v>0</v>
      </c>
      <c r="K241" s="356">
        <f>(H241+I241/2)/G241</f>
        <v>0.9375</v>
      </c>
      <c r="L241" s="354" t="s">
        <v>1148</v>
      </c>
      <c r="M241" s="425" t="s">
        <v>2096</v>
      </c>
    </row>
    <row r="242" spans="1:13" s="233" customFormat="1" ht="29.25" customHeight="1" outlineLevel="1" x14ac:dyDescent="0.25">
      <c r="A242" s="621" t="s">
        <v>230</v>
      </c>
      <c r="B242" s="618" t="s">
        <v>1149</v>
      </c>
      <c r="C242" s="358" t="s">
        <v>3</v>
      </c>
      <c r="D242" s="213">
        <f>SUM(D243:D244)</f>
        <v>10034133.324999999</v>
      </c>
      <c r="E242" s="213">
        <f>SUM(E243:E244)</f>
        <v>10034133.324999999</v>
      </c>
      <c r="F242" s="214">
        <f t="shared" si="18"/>
        <v>1</v>
      </c>
      <c r="G242" s="599">
        <f>SUM(H242:J244)</f>
        <v>7</v>
      </c>
      <c r="H242" s="599">
        <v>7</v>
      </c>
      <c r="I242" s="599">
        <v>0</v>
      </c>
      <c r="J242" s="599">
        <v>0</v>
      </c>
      <c r="K242" s="602">
        <f>(H242+I242/2)/G242</f>
        <v>1</v>
      </c>
      <c r="L242" s="618" t="s">
        <v>1148</v>
      </c>
      <c r="M242" s="621" t="s">
        <v>41</v>
      </c>
    </row>
    <row r="243" spans="1:13" s="233" customFormat="1" ht="29.25" customHeight="1" outlineLevel="1" x14ac:dyDescent="0.25">
      <c r="A243" s="622"/>
      <c r="B243" s="619"/>
      <c r="C243" s="358" t="s">
        <v>4</v>
      </c>
      <c r="D243" s="213">
        <v>8444089.3249999993</v>
      </c>
      <c r="E243" s="213">
        <v>8444089.3249999993</v>
      </c>
      <c r="F243" s="214">
        <f t="shared" si="18"/>
        <v>1</v>
      </c>
      <c r="G243" s="600"/>
      <c r="H243" s="600"/>
      <c r="I243" s="600"/>
      <c r="J243" s="600"/>
      <c r="K243" s="603"/>
      <c r="L243" s="619"/>
      <c r="M243" s="622"/>
    </row>
    <row r="244" spans="1:13" s="233" customFormat="1" ht="29.25" customHeight="1" outlineLevel="1" x14ac:dyDescent="0.25">
      <c r="A244" s="623"/>
      <c r="B244" s="620"/>
      <c r="C244" s="358" t="s">
        <v>5</v>
      </c>
      <c r="D244" s="213">
        <v>1590044</v>
      </c>
      <c r="E244" s="213">
        <v>1590044</v>
      </c>
      <c r="F244" s="214">
        <f t="shared" si="18"/>
        <v>1</v>
      </c>
      <c r="G244" s="601"/>
      <c r="H244" s="601"/>
      <c r="I244" s="601"/>
      <c r="J244" s="601"/>
      <c r="K244" s="604"/>
      <c r="L244" s="620"/>
      <c r="M244" s="623"/>
    </row>
    <row r="245" spans="1:13" s="233" customFormat="1" ht="84.75" customHeight="1" outlineLevel="1" x14ac:dyDescent="0.25">
      <c r="A245" s="358" t="s">
        <v>1896</v>
      </c>
      <c r="B245" s="436" t="s">
        <v>1150</v>
      </c>
      <c r="C245" s="358" t="s">
        <v>4</v>
      </c>
      <c r="D245" s="213">
        <v>38058.478130000003</v>
      </c>
      <c r="E245" s="213">
        <v>37729.327519999999</v>
      </c>
      <c r="F245" s="214">
        <f t="shared" si="18"/>
        <v>0.99135145107810951</v>
      </c>
      <c r="G245" s="355">
        <f>SUM(H245:J245)</f>
        <v>2</v>
      </c>
      <c r="H245" s="355">
        <v>2</v>
      </c>
      <c r="I245" s="355">
        <v>0</v>
      </c>
      <c r="J245" s="355">
        <v>0</v>
      </c>
      <c r="K245" s="356">
        <f>(H245+I245/2)/G245</f>
        <v>1</v>
      </c>
      <c r="L245" s="354" t="s">
        <v>1151</v>
      </c>
      <c r="M245" s="423" t="s">
        <v>41</v>
      </c>
    </row>
    <row r="246" spans="1:13" s="233" customFormat="1" ht="69.75" customHeight="1" outlineLevel="1" x14ac:dyDescent="0.25">
      <c r="A246" s="358" t="s">
        <v>1897</v>
      </c>
      <c r="B246" s="234" t="s">
        <v>1189</v>
      </c>
      <c r="C246" s="358" t="s">
        <v>4</v>
      </c>
      <c r="D246" s="213">
        <v>118786.49728000001</v>
      </c>
      <c r="E246" s="213">
        <v>117711.40367</v>
      </c>
      <c r="F246" s="214">
        <f t="shared" si="18"/>
        <v>0.99094936179938164</v>
      </c>
      <c r="G246" s="355">
        <f>SUM(H246:J246)</f>
        <v>6</v>
      </c>
      <c r="H246" s="355">
        <v>6</v>
      </c>
      <c r="I246" s="355">
        <v>0</v>
      </c>
      <c r="J246" s="355">
        <v>0</v>
      </c>
      <c r="K246" s="356">
        <f>(H246+I246/2)/G246</f>
        <v>1</v>
      </c>
      <c r="L246" s="354" t="s">
        <v>850</v>
      </c>
      <c r="M246" s="423" t="s">
        <v>41</v>
      </c>
    </row>
    <row r="247" spans="1:13" ht="23.25" customHeight="1" x14ac:dyDescent="0.25">
      <c r="A247" s="624" t="s">
        <v>231</v>
      </c>
      <c r="B247" s="627" t="s">
        <v>180</v>
      </c>
      <c r="C247" s="189" t="s">
        <v>3</v>
      </c>
      <c r="D247" s="190">
        <f>SUM(D248:D250)</f>
        <v>3000256.5000000005</v>
      </c>
      <c r="E247" s="190">
        <f>SUM(E248:E250)</f>
        <v>2868825.7897900003</v>
      </c>
      <c r="F247" s="504">
        <f t="shared" si="18"/>
        <v>0.95619350871833786</v>
      </c>
      <c r="G247" s="630">
        <f>SUM(G251:G263)</f>
        <v>99</v>
      </c>
      <c r="H247" s="630">
        <f>SUM(H251:H263)</f>
        <v>91</v>
      </c>
      <c r="I247" s="630">
        <f>SUM(I251:I263)</f>
        <v>8</v>
      </c>
      <c r="J247" s="630">
        <f>SUM(J251:J263)</f>
        <v>0</v>
      </c>
      <c r="K247" s="633">
        <f>(H247+I247/2)/G247</f>
        <v>0.95959595959595956</v>
      </c>
      <c r="L247" s="636" t="s">
        <v>1476</v>
      </c>
      <c r="M247" s="639"/>
    </row>
    <row r="248" spans="1:13" ht="23.25" customHeight="1" x14ac:dyDescent="0.25">
      <c r="A248" s="625"/>
      <c r="B248" s="628"/>
      <c r="C248" s="192" t="s">
        <v>181</v>
      </c>
      <c r="D248" s="193">
        <f>D252+D256+D259+D262+D263</f>
        <v>2784208.6</v>
      </c>
      <c r="E248" s="193">
        <f>E252+E256+E259+E262+E263</f>
        <v>2654520.1897900002</v>
      </c>
      <c r="F248" s="503">
        <f t="shared" si="18"/>
        <v>0.95342000947414651</v>
      </c>
      <c r="G248" s="631"/>
      <c r="H248" s="631"/>
      <c r="I248" s="631"/>
      <c r="J248" s="631"/>
      <c r="K248" s="634" t="e">
        <f>(#REF!+#REF!/2)/#REF!</f>
        <v>#REF!</v>
      </c>
      <c r="L248" s="637"/>
      <c r="M248" s="640"/>
    </row>
    <row r="249" spans="1:13" ht="23.25" customHeight="1" x14ac:dyDescent="0.25">
      <c r="A249" s="625"/>
      <c r="B249" s="628"/>
      <c r="C249" s="192" t="s">
        <v>5</v>
      </c>
      <c r="D249" s="193">
        <f>D253+D260</f>
        <v>119883.19999999998</v>
      </c>
      <c r="E249" s="193">
        <f>E253+E260</f>
        <v>118229.2</v>
      </c>
      <c r="F249" s="503">
        <f t="shared" si="18"/>
        <v>0.98620323781814312</v>
      </c>
      <c r="G249" s="631"/>
      <c r="H249" s="631"/>
      <c r="I249" s="631"/>
      <c r="J249" s="631"/>
      <c r="K249" s="634" t="e">
        <f>(#REF!+K247/2)/#REF!</f>
        <v>#REF!</v>
      </c>
      <c r="L249" s="637"/>
      <c r="M249" s="640"/>
    </row>
    <row r="250" spans="1:13" ht="23.25" customHeight="1" x14ac:dyDescent="0.25">
      <c r="A250" s="626"/>
      <c r="B250" s="629"/>
      <c r="C250" s="192" t="s">
        <v>6</v>
      </c>
      <c r="D250" s="193">
        <f>D254+D257+D261</f>
        <v>96164.7</v>
      </c>
      <c r="E250" s="193">
        <f>E254+E257+E261</f>
        <v>96076.4</v>
      </c>
      <c r="F250" s="503">
        <f t="shared" si="18"/>
        <v>0.99908178364826172</v>
      </c>
      <c r="G250" s="632"/>
      <c r="H250" s="632"/>
      <c r="I250" s="632"/>
      <c r="J250" s="632"/>
      <c r="K250" s="635" t="e">
        <f>(K248+K249/2)/K247</f>
        <v>#REF!</v>
      </c>
      <c r="L250" s="638"/>
      <c r="M250" s="641"/>
    </row>
    <row r="251" spans="1:13" s="233" customFormat="1" ht="39" customHeight="1" outlineLevel="1" x14ac:dyDescent="0.25">
      <c r="A251" s="616" t="s">
        <v>232</v>
      </c>
      <c r="B251" s="617" t="s">
        <v>1153</v>
      </c>
      <c r="C251" s="366" t="s">
        <v>3</v>
      </c>
      <c r="D251" s="218">
        <f>SUM(D252:D254)</f>
        <v>1418897.3000000003</v>
      </c>
      <c r="E251" s="218">
        <f>SUM(E252:E254)</f>
        <v>1349434.8441099999</v>
      </c>
      <c r="F251" s="214">
        <f t="shared" si="18"/>
        <v>0.95104476138618321</v>
      </c>
      <c r="G251" s="599">
        <f>SUM(H251:J254)</f>
        <v>33</v>
      </c>
      <c r="H251" s="599">
        <v>29</v>
      </c>
      <c r="I251" s="599">
        <v>4</v>
      </c>
      <c r="J251" s="599">
        <v>0</v>
      </c>
      <c r="K251" s="602">
        <f>(H251+I251/2)/G251</f>
        <v>0.93939393939393945</v>
      </c>
      <c r="L251" s="617" t="s">
        <v>1468</v>
      </c>
      <c r="M251" s="617" t="s">
        <v>1469</v>
      </c>
    </row>
    <row r="252" spans="1:13" s="233" customFormat="1" ht="39" customHeight="1" outlineLevel="1" x14ac:dyDescent="0.25">
      <c r="A252" s="616"/>
      <c r="B252" s="617"/>
      <c r="C252" s="366" t="s">
        <v>4</v>
      </c>
      <c r="D252" s="218">
        <v>1261103.3000000003</v>
      </c>
      <c r="E252" s="218">
        <v>1193291.3441099999</v>
      </c>
      <c r="F252" s="214">
        <f t="shared" si="18"/>
        <v>0.94622807196682435</v>
      </c>
      <c r="G252" s="600"/>
      <c r="H252" s="600"/>
      <c r="I252" s="600"/>
      <c r="J252" s="600"/>
      <c r="K252" s="603" t="e">
        <f>(#REF!+#REF!/2)/#REF!</f>
        <v>#REF!</v>
      </c>
      <c r="L252" s="617"/>
      <c r="M252" s="617"/>
    </row>
    <row r="253" spans="1:13" s="233" customFormat="1" ht="39" customHeight="1" outlineLevel="1" x14ac:dyDescent="0.25">
      <c r="A253" s="616"/>
      <c r="B253" s="617"/>
      <c r="C253" s="366" t="s">
        <v>5</v>
      </c>
      <c r="D253" s="218">
        <v>70567.299999999988</v>
      </c>
      <c r="E253" s="218">
        <v>68916.800000000003</v>
      </c>
      <c r="F253" s="214">
        <f t="shared" si="18"/>
        <v>0.97661097987311418</v>
      </c>
      <c r="G253" s="600"/>
      <c r="H253" s="600"/>
      <c r="I253" s="600"/>
      <c r="J253" s="600"/>
      <c r="K253" s="603" t="e">
        <f>(#REF!+K251/2)/#REF!</f>
        <v>#REF!</v>
      </c>
      <c r="L253" s="617"/>
      <c r="M253" s="617"/>
    </row>
    <row r="254" spans="1:13" s="233" customFormat="1" ht="39" customHeight="1" outlineLevel="1" x14ac:dyDescent="0.25">
      <c r="A254" s="616"/>
      <c r="B254" s="617"/>
      <c r="C254" s="366" t="s">
        <v>6</v>
      </c>
      <c r="D254" s="218">
        <v>87226.7</v>
      </c>
      <c r="E254" s="218">
        <v>87226.7</v>
      </c>
      <c r="F254" s="214">
        <f t="shared" si="18"/>
        <v>1</v>
      </c>
      <c r="G254" s="601"/>
      <c r="H254" s="601"/>
      <c r="I254" s="601"/>
      <c r="J254" s="601"/>
      <c r="K254" s="604" t="e">
        <f>(K252+K253/2)/K251</f>
        <v>#REF!</v>
      </c>
      <c r="L254" s="617"/>
      <c r="M254" s="617"/>
    </row>
    <row r="255" spans="1:13" s="233" customFormat="1" ht="30" customHeight="1" outlineLevel="1" x14ac:dyDescent="0.25">
      <c r="A255" s="611" t="s">
        <v>233</v>
      </c>
      <c r="B255" s="608" t="s">
        <v>1154</v>
      </c>
      <c r="C255" s="366" t="s">
        <v>3</v>
      </c>
      <c r="D255" s="218">
        <f>SUM(D256:D257)</f>
        <v>327775.8</v>
      </c>
      <c r="E255" s="218">
        <f>SUM(E256:E257)</f>
        <v>319533.50000000006</v>
      </c>
      <c r="F255" s="214">
        <f t="shared" si="18"/>
        <v>0.97485384827067789</v>
      </c>
      <c r="G255" s="599">
        <f>SUM(H255:J255)</f>
        <v>15</v>
      </c>
      <c r="H255" s="599">
        <v>14</v>
      </c>
      <c r="I255" s="599">
        <v>1</v>
      </c>
      <c r="J255" s="599">
        <v>0</v>
      </c>
      <c r="K255" s="602">
        <f>(H255+I255/2)/G255</f>
        <v>0.96666666666666667</v>
      </c>
      <c r="L255" s="608" t="s">
        <v>1186</v>
      </c>
      <c r="M255" s="608" t="s">
        <v>1470</v>
      </c>
    </row>
    <row r="256" spans="1:13" ht="39.75" customHeight="1" outlineLevel="1" x14ac:dyDescent="0.25">
      <c r="A256" s="612"/>
      <c r="B256" s="609"/>
      <c r="C256" s="366" t="s">
        <v>4</v>
      </c>
      <c r="D256" s="218">
        <v>327729.39999999997</v>
      </c>
      <c r="E256" s="218">
        <v>319510.20000000007</v>
      </c>
      <c r="F256" s="214">
        <f t="shared" si="18"/>
        <v>0.97492077305240266</v>
      </c>
      <c r="G256" s="600"/>
      <c r="H256" s="600"/>
      <c r="I256" s="600"/>
      <c r="J256" s="600"/>
      <c r="K256" s="603"/>
      <c r="L256" s="609"/>
      <c r="M256" s="609"/>
    </row>
    <row r="257" spans="1:13" ht="36.75" customHeight="1" outlineLevel="1" x14ac:dyDescent="0.25">
      <c r="A257" s="614"/>
      <c r="B257" s="615"/>
      <c r="C257" s="366" t="s">
        <v>6</v>
      </c>
      <c r="D257" s="218">
        <v>46.399999999999864</v>
      </c>
      <c r="E257" s="218">
        <v>23.3</v>
      </c>
      <c r="F257" s="214">
        <f t="shared" si="18"/>
        <v>0.50215517241379459</v>
      </c>
      <c r="G257" s="601"/>
      <c r="H257" s="601"/>
      <c r="I257" s="601"/>
      <c r="J257" s="601"/>
      <c r="K257" s="604"/>
      <c r="L257" s="615"/>
      <c r="M257" s="615"/>
    </row>
    <row r="258" spans="1:13" ht="37.5" customHeight="1" outlineLevel="1" x14ac:dyDescent="0.25">
      <c r="A258" s="611" t="s">
        <v>234</v>
      </c>
      <c r="B258" s="608" t="s">
        <v>1155</v>
      </c>
      <c r="C258" s="237" t="s">
        <v>3</v>
      </c>
      <c r="D258" s="218">
        <f>SUM(D259:D261)</f>
        <v>420016.9</v>
      </c>
      <c r="E258" s="218">
        <f>SUM(E259:E261)</f>
        <v>402417.83000000007</v>
      </c>
      <c r="F258" s="214">
        <f t="shared" si="18"/>
        <v>0.95809913839181249</v>
      </c>
      <c r="G258" s="599">
        <f>SUM(H258:J260)</f>
        <v>35</v>
      </c>
      <c r="H258" s="599">
        <v>33</v>
      </c>
      <c r="I258" s="599">
        <v>2</v>
      </c>
      <c r="J258" s="599">
        <v>0</v>
      </c>
      <c r="K258" s="602">
        <f>(H258+I258/2)/G258</f>
        <v>0.97142857142857142</v>
      </c>
      <c r="L258" s="605" t="s">
        <v>1471</v>
      </c>
      <c r="M258" s="608" t="s">
        <v>1473</v>
      </c>
    </row>
    <row r="259" spans="1:13" ht="33.75" customHeight="1" outlineLevel="1" x14ac:dyDescent="0.25">
      <c r="A259" s="612"/>
      <c r="B259" s="609"/>
      <c r="C259" s="237" t="s">
        <v>4</v>
      </c>
      <c r="D259" s="218">
        <v>361809.4</v>
      </c>
      <c r="E259" s="218">
        <v>344279.03</v>
      </c>
      <c r="F259" s="214">
        <f t="shared" si="18"/>
        <v>0.951548052648715</v>
      </c>
      <c r="G259" s="600"/>
      <c r="H259" s="600"/>
      <c r="I259" s="600"/>
      <c r="J259" s="600"/>
      <c r="K259" s="603"/>
      <c r="L259" s="606"/>
      <c r="M259" s="609"/>
    </row>
    <row r="260" spans="1:13" ht="33.75" customHeight="1" outlineLevel="1" x14ac:dyDescent="0.25">
      <c r="A260" s="612"/>
      <c r="B260" s="609"/>
      <c r="C260" s="237" t="s">
        <v>5</v>
      </c>
      <c r="D260" s="218">
        <v>49315.899999999994</v>
      </c>
      <c r="E260" s="218">
        <v>49312.399999999994</v>
      </c>
      <c r="F260" s="214">
        <f t="shared" si="18"/>
        <v>0.99992902897442815</v>
      </c>
      <c r="G260" s="600"/>
      <c r="H260" s="600"/>
      <c r="I260" s="600"/>
      <c r="J260" s="600"/>
      <c r="K260" s="603"/>
      <c r="L260" s="606"/>
      <c r="M260" s="609"/>
    </row>
    <row r="261" spans="1:13" ht="31.5" customHeight="1" outlineLevel="1" x14ac:dyDescent="0.25">
      <c r="A261" s="613"/>
      <c r="B261" s="610"/>
      <c r="C261" s="237" t="s">
        <v>6</v>
      </c>
      <c r="D261" s="218">
        <v>8891.6</v>
      </c>
      <c r="E261" s="218">
        <v>8826.4</v>
      </c>
      <c r="F261" s="214">
        <f t="shared" ref="F261" si="22">E261/D261</f>
        <v>0.99266723649286959</v>
      </c>
      <c r="G261" s="601"/>
      <c r="H261" s="601"/>
      <c r="I261" s="601"/>
      <c r="J261" s="601"/>
      <c r="K261" s="604"/>
      <c r="L261" s="607"/>
      <c r="M261" s="610"/>
    </row>
    <row r="262" spans="1:13" s="233" customFormat="1" ht="79.150000000000006" customHeight="1" outlineLevel="1" x14ac:dyDescent="0.25">
      <c r="A262" s="366" t="s">
        <v>235</v>
      </c>
      <c r="B262" s="367" t="s">
        <v>1156</v>
      </c>
      <c r="C262" s="237" t="s">
        <v>4</v>
      </c>
      <c r="D262" s="218">
        <v>520790</v>
      </c>
      <c r="E262" s="218">
        <v>494191.91567999998</v>
      </c>
      <c r="F262" s="214">
        <f>E262/D262</f>
        <v>0.94892742886768178</v>
      </c>
      <c r="G262" s="360">
        <f>SUM(H262:J262)</f>
        <v>7</v>
      </c>
      <c r="H262" s="360">
        <v>6</v>
      </c>
      <c r="I262" s="360">
        <v>1</v>
      </c>
      <c r="J262" s="360">
        <v>0</v>
      </c>
      <c r="K262" s="359">
        <f>(H262+I262/2)/G262</f>
        <v>0.9285714285714286</v>
      </c>
      <c r="L262" s="367" t="s">
        <v>1472</v>
      </c>
      <c r="M262" s="367" t="s">
        <v>1474</v>
      </c>
    </row>
    <row r="263" spans="1:13" s="233" customFormat="1" ht="141.6" customHeight="1" outlineLevel="1" x14ac:dyDescent="0.25">
      <c r="A263" s="366" t="s">
        <v>1898</v>
      </c>
      <c r="B263" s="367" t="s">
        <v>1157</v>
      </c>
      <c r="C263" s="237" t="s">
        <v>4</v>
      </c>
      <c r="D263" s="218">
        <v>312776.5</v>
      </c>
      <c r="E263" s="218">
        <v>303247.7</v>
      </c>
      <c r="F263" s="214">
        <f>E263/D263</f>
        <v>0.96953479561284184</v>
      </c>
      <c r="G263" s="360">
        <f>SUM(H263:J263)</f>
        <v>9</v>
      </c>
      <c r="H263" s="360">
        <v>9</v>
      </c>
      <c r="I263" s="360">
        <v>0</v>
      </c>
      <c r="J263" s="360">
        <v>0</v>
      </c>
      <c r="K263" s="359">
        <f>(H263+I263/2)/G263</f>
        <v>1</v>
      </c>
      <c r="L263" s="367" t="s">
        <v>1475</v>
      </c>
      <c r="M263" s="440" t="s">
        <v>41</v>
      </c>
    </row>
    <row r="264" spans="1:13" ht="25.5" customHeight="1" x14ac:dyDescent="0.25"/>
    <row r="265" spans="1:13" ht="15" customHeight="1" x14ac:dyDescent="0.25">
      <c r="K265" s="196"/>
    </row>
  </sheetData>
  <mergeCells count="602">
    <mergeCell ref="M211:M215"/>
    <mergeCell ref="L211:L215"/>
    <mergeCell ref="G211:G215"/>
    <mergeCell ref="H211:H215"/>
    <mergeCell ref="I211:I215"/>
    <mergeCell ref="J211:J215"/>
    <mergeCell ref="K211:K215"/>
    <mergeCell ref="A6:A10"/>
    <mergeCell ref="B6:B10"/>
    <mergeCell ref="G6:G10"/>
    <mergeCell ref="H6:H10"/>
    <mergeCell ref="I6:I10"/>
    <mergeCell ref="J6:J10"/>
    <mergeCell ref="L11:L14"/>
    <mergeCell ref="M11:M14"/>
    <mergeCell ref="A15:A18"/>
    <mergeCell ref="B15:B18"/>
    <mergeCell ref="G15:G18"/>
    <mergeCell ref="H15:H18"/>
    <mergeCell ref="I15:I18"/>
    <mergeCell ref="J15:J18"/>
    <mergeCell ref="K15:K18"/>
    <mergeCell ref="L15:L18"/>
    <mergeCell ref="M15:M18"/>
    <mergeCell ref="A2:M2"/>
    <mergeCell ref="A4:A5"/>
    <mergeCell ref="B4:B5"/>
    <mergeCell ref="C4:E4"/>
    <mergeCell ref="F4:F5"/>
    <mergeCell ref="G4:K4"/>
    <mergeCell ref="L4:L5"/>
    <mergeCell ref="M4:M5"/>
    <mergeCell ref="K6:K10"/>
    <mergeCell ref="L6:L10"/>
    <mergeCell ref="M6:M10"/>
    <mergeCell ref="A11:A14"/>
    <mergeCell ref="B11:B14"/>
    <mergeCell ref="G11:G14"/>
    <mergeCell ref="H11:H14"/>
    <mergeCell ref="I11:I14"/>
    <mergeCell ref="J11:J14"/>
    <mergeCell ref="K11:K14"/>
    <mergeCell ref="A19:A22"/>
    <mergeCell ref="B19:B22"/>
    <mergeCell ref="G19:G22"/>
    <mergeCell ref="H19:H22"/>
    <mergeCell ref="I19:I22"/>
    <mergeCell ref="J19:J22"/>
    <mergeCell ref="K19:K22"/>
    <mergeCell ref="L19:L22"/>
    <mergeCell ref="M19:M22"/>
    <mergeCell ref="K23:K25"/>
    <mergeCell ref="L23:L25"/>
    <mergeCell ref="M23:M25"/>
    <mergeCell ref="A26:A28"/>
    <mergeCell ref="B26:B28"/>
    <mergeCell ref="G26:G28"/>
    <mergeCell ref="H26:H28"/>
    <mergeCell ref="I26:I28"/>
    <mergeCell ref="J26:J28"/>
    <mergeCell ref="K26:K28"/>
    <mergeCell ref="A23:A25"/>
    <mergeCell ref="B23:B25"/>
    <mergeCell ref="G23:G25"/>
    <mergeCell ref="H23:H25"/>
    <mergeCell ref="I23:I25"/>
    <mergeCell ref="J23:J25"/>
    <mergeCell ref="L26:L28"/>
    <mergeCell ref="M26:M28"/>
    <mergeCell ref="A29:A31"/>
    <mergeCell ref="B29:B31"/>
    <mergeCell ref="G29:G31"/>
    <mergeCell ref="H29:H31"/>
    <mergeCell ref="I29:I31"/>
    <mergeCell ref="J29:J31"/>
    <mergeCell ref="K29:K31"/>
    <mergeCell ref="L29:L31"/>
    <mergeCell ref="M29:M31"/>
    <mergeCell ref="A32:A34"/>
    <mergeCell ref="B32:B34"/>
    <mergeCell ref="G32:G34"/>
    <mergeCell ref="H32:H34"/>
    <mergeCell ref="I32:I34"/>
    <mergeCell ref="J32:J34"/>
    <mergeCell ref="K32:K34"/>
    <mergeCell ref="L32:L34"/>
    <mergeCell ref="M32:M34"/>
    <mergeCell ref="K35:K37"/>
    <mergeCell ref="L35:L37"/>
    <mergeCell ref="M35:M37"/>
    <mergeCell ref="A38:A41"/>
    <mergeCell ref="B38:B41"/>
    <mergeCell ref="G38:G41"/>
    <mergeCell ref="H38:H41"/>
    <mergeCell ref="I38:I41"/>
    <mergeCell ref="J38:J41"/>
    <mergeCell ref="K38:K41"/>
    <mergeCell ref="A35:A37"/>
    <mergeCell ref="B35:B37"/>
    <mergeCell ref="G35:G37"/>
    <mergeCell ref="H35:H37"/>
    <mergeCell ref="I35:I37"/>
    <mergeCell ref="J35:J37"/>
    <mergeCell ref="L38:L41"/>
    <mergeCell ref="M38:M41"/>
    <mergeCell ref="A42:A44"/>
    <mergeCell ref="B42:B44"/>
    <mergeCell ref="G42:G44"/>
    <mergeCell ref="H42:H44"/>
    <mergeCell ref="I42:I44"/>
    <mergeCell ref="J42:J44"/>
    <mergeCell ref="K42:K44"/>
    <mergeCell ref="L42:L44"/>
    <mergeCell ref="M42:M44"/>
    <mergeCell ref="A45:A48"/>
    <mergeCell ref="B45:B48"/>
    <mergeCell ref="G45:G48"/>
    <mergeCell ref="H45:H48"/>
    <mergeCell ref="I45:I48"/>
    <mergeCell ref="J45:J48"/>
    <mergeCell ref="K45:K48"/>
    <mergeCell ref="L45:L48"/>
    <mergeCell ref="M45:M48"/>
    <mergeCell ref="K49:K51"/>
    <mergeCell ref="L49:L51"/>
    <mergeCell ref="M49:M51"/>
    <mergeCell ref="A52:A55"/>
    <mergeCell ref="B52:B55"/>
    <mergeCell ref="G52:G55"/>
    <mergeCell ref="H52:H55"/>
    <mergeCell ref="I52:I55"/>
    <mergeCell ref="J52:J55"/>
    <mergeCell ref="K52:K55"/>
    <mergeCell ref="A49:A51"/>
    <mergeCell ref="B49:B51"/>
    <mergeCell ref="G49:G51"/>
    <mergeCell ref="H49:H51"/>
    <mergeCell ref="I49:I51"/>
    <mergeCell ref="J49:J51"/>
    <mergeCell ref="L52:L55"/>
    <mergeCell ref="M52:M55"/>
    <mergeCell ref="A56:A59"/>
    <mergeCell ref="B56:B59"/>
    <mergeCell ref="G56:G59"/>
    <mergeCell ref="H56:H59"/>
    <mergeCell ref="I56:I59"/>
    <mergeCell ref="J56:J59"/>
    <mergeCell ref="K56:K59"/>
    <mergeCell ref="L56:L59"/>
    <mergeCell ref="M56:M59"/>
    <mergeCell ref="A60:A62"/>
    <mergeCell ref="B60:B62"/>
    <mergeCell ref="G60:G62"/>
    <mergeCell ref="H60:H62"/>
    <mergeCell ref="I60:I62"/>
    <mergeCell ref="J60:J62"/>
    <mergeCell ref="K60:K62"/>
    <mergeCell ref="L60:L62"/>
    <mergeCell ref="M60:M62"/>
    <mergeCell ref="K63:K66"/>
    <mergeCell ref="L63:L66"/>
    <mergeCell ref="M63:M66"/>
    <mergeCell ref="A67:A69"/>
    <mergeCell ref="B67:B69"/>
    <mergeCell ref="G67:G69"/>
    <mergeCell ref="H67:H69"/>
    <mergeCell ref="I67:I69"/>
    <mergeCell ref="J67:J69"/>
    <mergeCell ref="K67:K69"/>
    <mergeCell ref="A63:A66"/>
    <mergeCell ref="B63:B66"/>
    <mergeCell ref="G63:G66"/>
    <mergeCell ref="H63:H66"/>
    <mergeCell ref="I63:I66"/>
    <mergeCell ref="J63:J66"/>
    <mergeCell ref="L67:L69"/>
    <mergeCell ref="M67:M69"/>
    <mergeCell ref="A71:A74"/>
    <mergeCell ref="B71:B74"/>
    <mergeCell ref="G71:G74"/>
    <mergeCell ref="H71:H74"/>
    <mergeCell ref="I71:I74"/>
    <mergeCell ref="J71:J74"/>
    <mergeCell ref="K71:K74"/>
    <mergeCell ref="L71:L74"/>
    <mergeCell ref="M71:M74"/>
    <mergeCell ref="A75:A78"/>
    <mergeCell ref="B75:B78"/>
    <mergeCell ref="G75:G78"/>
    <mergeCell ref="H75:H78"/>
    <mergeCell ref="I75:I78"/>
    <mergeCell ref="J75:J78"/>
    <mergeCell ref="K75:K78"/>
    <mergeCell ref="L75:L78"/>
    <mergeCell ref="M75:M78"/>
    <mergeCell ref="K79:K82"/>
    <mergeCell ref="L79:L82"/>
    <mergeCell ref="M79:M82"/>
    <mergeCell ref="A83:A86"/>
    <mergeCell ref="B83:B86"/>
    <mergeCell ref="G83:G86"/>
    <mergeCell ref="H83:H86"/>
    <mergeCell ref="I83:I86"/>
    <mergeCell ref="J83:J86"/>
    <mergeCell ref="K83:K86"/>
    <mergeCell ref="A79:A82"/>
    <mergeCell ref="B79:B82"/>
    <mergeCell ref="G79:G82"/>
    <mergeCell ref="H79:H82"/>
    <mergeCell ref="I79:I82"/>
    <mergeCell ref="J79:J82"/>
    <mergeCell ref="L83:L86"/>
    <mergeCell ref="M83:M86"/>
    <mergeCell ref="A88:A91"/>
    <mergeCell ref="B88:B91"/>
    <mergeCell ref="G88:G91"/>
    <mergeCell ref="H88:H91"/>
    <mergeCell ref="I88:I91"/>
    <mergeCell ref="J88:J91"/>
    <mergeCell ref="K88:K91"/>
    <mergeCell ref="L88:L91"/>
    <mergeCell ref="M88:M91"/>
    <mergeCell ref="A92:A95"/>
    <mergeCell ref="B92:B95"/>
    <mergeCell ref="G92:G95"/>
    <mergeCell ref="H92:H95"/>
    <mergeCell ref="I92:I95"/>
    <mergeCell ref="J92:J95"/>
    <mergeCell ref="K92:K95"/>
    <mergeCell ref="L92:L95"/>
    <mergeCell ref="M92:M95"/>
    <mergeCell ref="K96:K99"/>
    <mergeCell ref="L96:L99"/>
    <mergeCell ref="M96:M99"/>
    <mergeCell ref="A100:A103"/>
    <mergeCell ref="B100:B103"/>
    <mergeCell ref="G100:G103"/>
    <mergeCell ref="H100:H103"/>
    <mergeCell ref="I100:I103"/>
    <mergeCell ref="J100:J103"/>
    <mergeCell ref="K100:K103"/>
    <mergeCell ref="A96:A99"/>
    <mergeCell ref="B96:B99"/>
    <mergeCell ref="G96:G99"/>
    <mergeCell ref="H96:H99"/>
    <mergeCell ref="I96:I99"/>
    <mergeCell ref="J96:J99"/>
    <mergeCell ref="L100:L103"/>
    <mergeCell ref="M100:M103"/>
    <mergeCell ref="A104:A106"/>
    <mergeCell ref="B104:B106"/>
    <mergeCell ref="G104:G106"/>
    <mergeCell ref="H104:H106"/>
    <mergeCell ref="I104:I106"/>
    <mergeCell ref="J104:J106"/>
    <mergeCell ref="K104:K106"/>
    <mergeCell ref="L104:L106"/>
    <mergeCell ref="M104:M106"/>
    <mergeCell ref="A107:A110"/>
    <mergeCell ref="B107:B110"/>
    <mergeCell ref="G107:G110"/>
    <mergeCell ref="H107:H110"/>
    <mergeCell ref="I107:I110"/>
    <mergeCell ref="J107:J110"/>
    <mergeCell ref="K107:K110"/>
    <mergeCell ref="L107:L110"/>
    <mergeCell ref="M107:M110"/>
    <mergeCell ref="K111:K113"/>
    <mergeCell ref="L111:L113"/>
    <mergeCell ref="M111:M113"/>
    <mergeCell ref="A114:A116"/>
    <mergeCell ref="B114:B116"/>
    <mergeCell ref="G114:G116"/>
    <mergeCell ref="H114:H116"/>
    <mergeCell ref="I114:I116"/>
    <mergeCell ref="J114:J116"/>
    <mergeCell ref="K114:K116"/>
    <mergeCell ref="A111:A113"/>
    <mergeCell ref="B111:B113"/>
    <mergeCell ref="G111:G113"/>
    <mergeCell ref="H111:H113"/>
    <mergeCell ref="I111:I113"/>
    <mergeCell ref="J111:J113"/>
    <mergeCell ref="L114:L116"/>
    <mergeCell ref="M114:M116"/>
    <mergeCell ref="A117:A119"/>
    <mergeCell ref="B117:B119"/>
    <mergeCell ref="G117:G119"/>
    <mergeCell ref="H117:H119"/>
    <mergeCell ref="I117:I119"/>
    <mergeCell ref="J117:J119"/>
    <mergeCell ref="K117:K119"/>
    <mergeCell ref="L117:L119"/>
    <mergeCell ref="M117:M119"/>
    <mergeCell ref="A120:A124"/>
    <mergeCell ref="B120:B124"/>
    <mergeCell ref="G120:G124"/>
    <mergeCell ref="H120:H124"/>
    <mergeCell ref="I120:I124"/>
    <mergeCell ref="J120:J124"/>
    <mergeCell ref="K120:K124"/>
    <mergeCell ref="L120:L124"/>
    <mergeCell ref="M120:M124"/>
    <mergeCell ref="K125:K129"/>
    <mergeCell ref="L125:L129"/>
    <mergeCell ref="M125:M129"/>
    <mergeCell ref="A130:A134"/>
    <mergeCell ref="B130:B134"/>
    <mergeCell ref="G130:G134"/>
    <mergeCell ref="H130:H134"/>
    <mergeCell ref="I130:I134"/>
    <mergeCell ref="J130:J134"/>
    <mergeCell ref="K130:K134"/>
    <mergeCell ref="A125:A129"/>
    <mergeCell ref="B125:B129"/>
    <mergeCell ref="G125:G129"/>
    <mergeCell ref="H125:H129"/>
    <mergeCell ref="I125:I129"/>
    <mergeCell ref="J125:J129"/>
    <mergeCell ref="L130:L134"/>
    <mergeCell ref="M130:M134"/>
    <mergeCell ref="A135:A138"/>
    <mergeCell ref="B135:B138"/>
    <mergeCell ref="G135:G138"/>
    <mergeCell ref="H135:H138"/>
    <mergeCell ref="I135:I138"/>
    <mergeCell ref="J135:J138"/>
    <mergeCell ref="K135:K138"/>
    <mergeCell ref="L135:L138"/>
    <mergeCell ref="M135:M138"/>
    <mergeCell ref="A139:A143"/>
    <mergeCell ref="B139:B143"/>
    <mergeCell ref="G139:G143"/>
    <mergeCell ref="H139:H143"/>
    <mergeCell ref="I139:I143"/>
    <mergeCell ref="J139:J143"/>
    <mergeCell ref="K139:K143"/>
    <mergeCell ref="L139:L143"/>
    <mergeCell ref="M139:M143"/>
    <mergeCell ref="K144:K145"/>
    <mergeCell ref="L144:L145"/>
    <mergeCell ref="M144:M145"/>
    <mergeCell ref="A144:A145"/>
    <mergeCell ref="B144:B145"/>
    <mergeCell ref="G144:G145"/>
    <mergeCell ref="H144:H145"/>
    <mergeCell ref="I144:I145"/>
    <mergeCell ref="J144:J145"/>
    <mergeCell ref="A151:A155"/>
    <mergeCell ref="B151:B155"/>
    <mergeCell ref="G151:G155"/>
    <mergeCell ref="H151:H155"/>
    <mergeCell ref="I151:I155"/>
    <mergeCell ref="J151:J155"/>
    <mergeCell ref="K151:K155"/>
    <mergeCell ref="L151:L155"/>
    <mergeCell ref="M151:M155"/>
    <mergeCell ref="K157:K160"/>
    <mergeCell ref="L157:L160"/>
    <mergeCell ref="M157:M160"/>
    <mergeCell ref="A161:A163"/>
    <mergeCell ref="B161:B163"/>
    <mergeCell ref="G161:G163"/>
    <mergeCell ref="H161:H163"/>
    <mergeCell ref="I161:I163"/>
    <mergeCell ref="J161:J163"/>
    <mergeCell ref="K161:K163"/>
    <mergeCell ref="A157:A160"/>
    <mergeCell ref="B157:B160"/>
    <mergeCell ref="G157:G160"/>
    <mergeCell ref="H157:H160"/>
    <mergeCell ref="I157:I160"/>
    <mergeCell ref="J157:J160"/>
    <mergeCell ref="L161:L163"/>
    <mergeCell ref="M161:M163"/>
    <mergeCell ref="A164:A166"/>
    <mergeCell ref="B164:B166"/>
    <mergeCell ref="G164:G166"/>
    <mergeCell ref="H164:H166"/>
    <mergeCell ref="I164:I166"/>
    <mergeCell ref="J164:J166"/>
    <mergeCell ref="K164:K166"/>
    <mergeCell ref="L164:L166"/>
    <mergeCell ref="M164:M166"/>
    <mergeCell ref="A167:A171"/>
    <mergeCell ref="B167:B171"/>
    <mergeCell ref="G167:G171"/>
    <mergeCell ref="H167:H171"/>
    <mergeCell ref="I167:I171"/>
    <mergeCell ref="J167:J171"/>
    <mergeCell ref="K167:K171"/>
    <mergeCell ref="L167:L171"/>
    <mergeCell ref="M167:M171"/>
    <mergeCell ref="K172:K174"/>
    <mergeCell ref="L172:L174"/>
    <mergeCell ref="M172:M174"/>
    <mergeCell ref="A175:A179"/>
    <mergeCell ref="B175:B179"/>
    <mergeCell ref="G175:G179"/>
    <mergeCell ref="H175:H179"/>
    <mergeCell ref="I175:I179"/>
    <mergeCell ref="J175:J179"/>
    <mergeCell ref="K175:K179"/>
    <mergeCell ref="A172:A174"/>
    <mergeCell ref="B172:B174"/>
    <mergeCell ref="G172:G174"/>
    <mergeCell ref="H172:H174"/>
    <mergeCell ref="I172:I174"/>
    <mergeCell ref="J172:J174"/>
    <mergeCell ref="L175:L179"/>
    <mergeCell ref="M175:M179"/>
    <mergeCell ref="A180:A183"/>
    <mergeCell ref="B180:B183"/>
    <mergeCell ref="G180:G183"/>
    <mergeCell ref="H180:H183"/>
    <mergeCell ref="I180:I183"/>
    <mergeCell ref="J180:J183"/>
    <mergeCell ref="K180:K183"/>
    <mergeCell ref="L180:L183"/>
    <mergeCell ref="M180:M183"/>
    <mergeCell ref="A184:A187"/>
    <mergeCell ref="B184:B187"/>
    <mergeCell ref="G184:G187"/>
    <mergeCell ref="H184:H187"/>
    <mergeCell ref="I184:I187"/>
    <mergeCell ref="J184:J187"/>
    <mergeCell ref="K184:K187"/>
    <mergeCell ref="L184:L187"/>
    <mergeCell ref="M184:M187"/>
    <mergeCell ref="K188:K190"/>
    <mergeCell ref="L188:L190"/>
    <mergeCell ref="M188:M190"/>
    <mergeCell ref="A191:A192"/>
    <mergeCell ref="B191:B192"/>
    <mergeCell ref="G191:G192"/>
    <mergeCell ref="H191:H192"/>
    <mergeCell ref="I191:I192"/>
    <mergeCell ref="J191:J192"/>
    <mergeCell ref="K191:K192"/>
    <mergeCell ref="A188:A190"/>
    <mergeCell ref="B188:B190"/>
    <mergeCell ref="G188:G190"/>
    <mergeCell ref="H188:H190"/>
    <mergeCell ref="I188:I190"/>
    <mergeCell ref="J188:J190"/>
    <mergeCell ref="L191:L192"/>
    <mergeCell ref="M191:M192"/>
    <mergeCell ref="A193:A197"/>
    <mergeCell ref="B193:B197"/>
    <mergeCell ref="G193:G197"/>
    <mergeCell ref="H193:H197"/>
    <mergeCell ref="I193:I197"/>
    <mergeCell ref="J193:J197"/>
    <mergeCell ref="K193:K197"/>
    <mergeCell ref="L193:L197"/>
    <mergeCell ref="M193:M197"/>
    <mergeCell ref="A198:A201"/>
    <mergeCell ref="B198:B201"/>
    <mergeCell ref="G198:G201"/>
    <mergeCell ref="H198:H201"/>
    <mergeCell ref="I198:I201"/>
    <mergeCell ref="J198:J201"/>
    <mergeCell ref="K198:K201"/>
    <mergeCell ref="L198:L201"/>
    <mergeCell ref="M198:M201"/>
    <mergeCell ref="K202:K205"/>
    <mergeCell ref="L202:L205"/>
    <mergeCell ref="M202:M205"/>
    <mergeCell ref="A206:A208"/>
    <mergeCell ref="B206:B208"/>
    <mergeCell ref="G206:G208"/>
    <mergeCell ref="H206:H208"/>
    <mergeCell ref="I206:I208"/>
    <mergeCell ref="J206:J208"/>
    <mergeCell ref="K206:K208"/>
    <mergeCell ref="A202:A205"/>
    <mergeCell ref="B202:B205"/>
    <mergeCell ref="G202:G205"/>
    <mergeCell ref="H202:H205"/>
    <mergeCell ref="I202:I205"/>
    <mergeCell ref="J202:J205"/>
    <mergeCell ref="L206:L208"/>
    <mergeCell ref="M206:M208"/>
    <mergeCell ref="B211:B215"/>
    <mergeCell ref="A211:A215"/>
    <mergeCell ref="A220:A223"/>
    <mergeCell ref="B220:B223"/>
    <mergeCell ref="G220:G223"/>
    <mergeCell ref="H220:H223"/>
    <mergeCell ref="I220:I223"/>
    <mergeCell ref="J220:J223"/>
    <mergeCell ref="K220:K223"/>
    <mergeCell ref="K216:K219"/>
    <mergeCell ref="L220:L223"/>
    <mergeCell ref="M220:M223"/>
    <mergeCell ref="B216:B219"/>
    <mergeCell ref="A216:A219"/>
    <mergeCell ref="G216:G219"/>
    <mergeCell ref="H216:H219"/>
    <mergeCell ref="I216:I219"/>
    <mergeCell ref="J216:J219"/>
    <mergeCell ref="A224:A226"/>
    <mergeCell ref="B224:B226"/>
    <mergeCell ref="G224:G226"/>
    <mergeCell ref="H224:H226"/>
    <mergeCell ref="I224:I226"/>
    <mergeCell ref="J224:J226"/>
    <mergeCell ref="K224:K226"/>
    <mergeCell ref="L224:L226"/>
    <mergeCell ref="M224:M226"/>
    <mergeCell ref="L216:L219"/>
    <mergeCell ref="M216:M219"/>
    <mergeCell ref="A227:A228"/>
    <mergeCell ref="B227:B228"/>
    <mergeCell ref="G227:G228"/>
    <mergeCell ref="H227:H228"/>
    <mergeCell ref="I227:I228"/>
    <mergeCell ref="J227:J228"/>
    <mergeCell ref="K227:K228"/>
    <mergeCell ref="L227:L228"/>
    <mergeCell ref="M227:M228"/>
    <mergeCell ref="K229:K230"/>
    <mergeCell ref="L229:L230"/>
    <mergeCell ref="M229:M230"/>
    <mergeCell ref="A231:A233"/>
    <mergeCell ref="B231:B233"/>
    <mergeCell ref="G231:G233"/>
    <mergeCell ref="H231:H233"/>
    <mergeCell ref="I231:I233"/>
    <mergeCell ref="J231:J233"/>
    <mergeCell ref="K231:K233"/>
    <mergeCell ref="A229:A230"/>
    <mergeCell ref="B229:B230"/>
    <mergeCell ref="G229:G230"/>
    <mergeCell ref="H229:H230"/>
    <mergeCell ref="I229:I230"/>
    <mergeCell ref="J229:J230"/>
    <mergeCell ref="L231:L233"/>
    <mergeCell ref="M231:M233"/>
    <mergeCell ref="A234:A236"/>
    <mergeCell ref="B234:B236"/>
    <mergeCell ref="G234:G236"/>
    <mergeCell ref="H234:H236"/>
    <mergeCell ref="I234:I236"/>
    <mergeCell ref="J234:J236"/>
    <mergeCell ref="K234:K236"/>
    <mergeCell ref="L234:L236"/>
    <mergeCell ref="M234:M236"/>
    <mergeCell ref="A238:A240"/>
    <mergeCell ref="B238:B240"/>
    <mergeCell ref="G238:G240"/>
    <mergeCell ref="H238:H240"/>
    <mergeCell ref="I238:I240"/>
    <mergeCell ref="J238:J240"/>
    <mergeCell ref="K238:K240"/>
    <mergeCell ref="L238:L240"/>
    <mergeCell ref="M238:M240"/>
    <mergeCell ref="K242:K244"/>
    <mergeCell ref="L242:L244"/>
    <mergeCell ref="M242:M244"/>
    <mergeCell ref="A247:A250"/>
    <mergeCell ref="B247:B250"/>
    <mergeCell ref="G247:G250"/>
    <mergeCell ref="H247:H250"/>
    <mergeCell ref="I247:I250"/>
    <mergeCell ref="J247:J250"/>
    <mergeCell ref="K247:K250"/>
    <mergeCell ref="A242:A244"/>
    <mergeCell ref="B242:B244"/>
    <mergeCell ref="G242:G244"/>
    <mergeCell ref="H242:H244"/>
    <mergeCell ref="I242:I244"/>
    <mergeCell ref="J242:J244"/>
    <mergeCell ref="L247:L250"/>
    <mergeCell ref="M247:M250"/>
    <mergeCell ref="A251:A254"/>
    <mergeCell ref="B251:B254"/>
    <mergeCell ref="G251:G254"/>
    <mergeCell ref="H251:H254"/>
    <mergeCell ref="I251:I254"/>
    <mergeCell ref="J251:J254"/>
    <mergeCell ref="K251:K254"/>
    <mergeCell ref="L251:L254"/>
    <mergeCell ref="M251:M254"/>
    <mergeCell ref="A255:A257"/>
    <mergeCell ref="B255:B257"/>
    <mergeCell ref="G255:G257"/>
    <mergeCell ref="H255:H257"/>
    <mergeCell ref="I255:I257"/>
    <mergeCell ref="J255:J257"/>
    <mergeCell ref="K255:K257"/>
    <mergeCell ref="L255:L257"/>
    <mergeCell ref="M255:M257"/>
    <mergeCell ref="G258:G261"/>
    <mergeCell ref="H258:H261"/>
    <mergeCell ref="I258:I261"/>
    <mergeCell ref="J258:J261"/>
    <mergeCell ref="K258:K261"/>
    <mergeCell ref="L258:L261"/>
    <mergeCell ref="M258:M261"/>
    <mergeCell ref="B258:B261"/>
    <mergeCell ref="A258:A261"/>
  </mergeCells>
  <conditionalFormatting sqref="C15:C37">
    <cfRule type="expression" dxfId="2" priority="1">
      <formula>#REF!="Всего"</formula>
    </cfRule>
  </conditionalFormatting>
  <dataValidations count="1">
    <dataValidation type="decimal" operator="greaterThanOrEqual" allowBlank="1" showInputMessage="1" showErrorMessage="1" sqref="E24 D24:D25 G36:G37 G24:G25 G27:G28 G30:G31 G33:G34 G16:G18 D16:E18 D22:E22 G20:G22">
      <formula1>0</formula1>
    </dataValidation>
  </dataValidations>
  <pageMargins left="0.7" right="0.7" top="0.75" bottom="0.75" header="0.3" footer="0.3"/>
  <pageSetup paperSize="9"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306"/>
  <sheetViews>
    <sheetView zoomScale="90" zoomScaleNormal="90" workbookViewId="0">
      <selection activeCell="N1" sqref="N1"/>
    </sheetView>
  </sheetViews>
  <sheetFormatPr defaultRowHeight="15" x14ac:dyDescent="0.25"/>
  <cols>
    <col min="1" max="1" width="6.42578125" customWidth="1"/>
    <col min="2" max="2" width="39.85546875" customWidth="1"/>
    <col min="3" max="3" width="16.42578125" customWidth="1"/>
    <col min="4" max="4" width="15.85546875" customWidth="1"/>
    <col min="5" max="5" width="10.7109375" customWidth="1"/>
    <col min="6" max="6" width="5" customWidth="1"/>
    <col min="7" max="7" width="12.42578125" customWidth="1"/>
    <col min="8" max="8" width="13.42578125" customWidth="1"/>
    <col min="9" max="9" width="16.42578125" customWidth="1"/>
    <col min="10" max="10" width="13.140625" customWidth="1"/>
    <col min="11" max="11" width="13.42578125" customWidth="1"/>
    <col min="12" max="12" width="10" customWidth="1"/>
    <col min="13" max="13" width="10.140625" customWidth="1"/>
    <col min="14" max="14" width="64.140625" customWidth="1"/>
  </cols>
  <sheetData>
    <row r="1" spans="1:14" x14ac:dyDescent="0.25">
      <c r="N1" s="121" t="s">
        <v>1271</v>
      </c>
    </row>
    <row r="2" spans="1:14" x14ac:dyDescent="0.25">
      <c r="A2" s="1081" t="s">
        <v>1463</v>
      </c>
      <c r="B2" s="1081"/>
      <c r="C2" s="1081"/>
      <c r="D2" s="1081"/>
      <c r="E2" s="1081"/>
      <c r="F2" s="1081"/>
      <c r="G2" s="1081"/>
      <c r="H2" s="1081"/>
      <c r="I2" s="1081"/>
      <c r="J2" s="1081"/>
      <c r="K2" s="1081"/>
      <c r="L2" s="1081"/>
      <c r="M2" s="1081"/>
      <c r="N2" s="1081"/>
    </row>
    <row r="3" spans="1:14" x14ac:dyDescent="0.25">
      <c r="A3" s="1082" t="s">
        <v>34</v>
      </c>
      <c r="B3" s="1084" t="s">
        <v>677</v>
      </c>
      <c r="C3" s="1074" t="s">
        <v>676</v>
      </c>
      <c r="D3" s="1074" t="s">
        <v>675</v>
      </c>
      <c r="E3" s="1086" t="s">
        <v>674</v>
      </c>
      <c r="F3" s="1074" t="s">
        <v>673</v>
      </c>
      <c r="G3" s="1088" t="s">
        <v>1464</v>
      </c>
      <c r="H3" s="1090" t="s">
        <v>1465</v>
      </c>
      <c r="I3" s="1090"/>
      <c r="J3" s="1090"/>
      <c r="K3" s="1090"/>
      <c r="L3" s="1090"/>
      <c r="M3" s="1091" t="s">
        <v>672</v>
      </c>
      <c r="N3" s="1074" t="s">
        <v>671</v>
      </c>
    </row>
    <row r="4" spans="1:14" ht="45" x14ac:dyDescent="0.25">
      <c r="A4" s="1083"/>
      <c r="B4" s="1085"/>
      <c r="C4" s="1075"/>
      <c r="D4" s="1075"/>
      <c r="E4" s="1087"/>
      <c r="F4" s="1075"/>
      <c r="G4" s="1089"/>
      <c r="H4" s="481" t="s">
        <v>670</v>
      </c>
      <c r="I4" s="482" t="s">
        <v>669</v>
      </c>
      <c r="J4" s="482" t="s">
        <v>1466</v>
      </c>
      <c r="K4" s="482" t="s">
        <v>668</v>
      </c>
      <c r="L4" s="120" t="s">
        <v>667</v>
      </c>
      <c r="M4" s="1092"/>
      <c r="N4" s="1075"/>
    </row>
    <row r="5" spans="1:14" ht="21" x14ac:dyDescent="0.25">
      <c r="A5" s="755" t="s">
        <v>189</v>
      </c>
      <c r="B5" s="756"/>
      <c r="C5" s="756"/>
      <c r="D5" s="756"/>
      <c r="E5" s="757"/>
      <c r="F5" s="378" t="s">
        <v>3</v>
      </c>
      <c r="G5" s="379">
        <f>SUM(G10,G45,G67,G123,G158,G247,G267,)</f>
        <v>6878305.9668300003</v>
      </c>
      <c r="H5" s="379">
        <f>SUM(H10,H45,H67,H123,H158,H247,H267,H262,)</f>
        <v>8856759.8220499996</v>
      </c>
      <c r="I5" s="379">
        <f>SUM(I10,I45,I67,I123,I158,I247,I267,I262,)</f>
        <v>7207047.5386399999</v>
      </c>
      <c r="J5" s="379">
        <f>SUM(J10,J45,J67,J123,J158,J247,J267,J262,)</f>
        <v>5872029.9567399994</v>
      </c>
      <c r="K5" s="379">
        <f>SUM(K6:K9)</f>
        <v>149096.44214</v>
      </c>
      <c r="L5" s="226">
        <f>J5/H5</f>
        <v>0.66299979616934557</v>
      </c>
      <c r="M5" s="1076"/>
      <c r="N5" s="1077"/>
    </row>
    <row r="6" spans="1:14" x14ac:dyDescent="0.25">
      <c r="A6" s="758"/>
      <c r="B6" s="759"/>
      <c r="C6" s="759"/>
      <c r="D6" s="759"/>
      <c r="E6" s="760"/>
      <c r="F6" s="378" t="s">
        <v>181</v>
      </c>
      <c r="G6" s="379">
        <f>SUM(G11,G46,G68,G124,G159,G268,G248,G263,)</f>
        <v>4446679.00019</v>
      </c>
      <c r="H6" s="379">
        <f>SUM(H11,H46,H68,H124,H159,H268,H248,H263,)</f>
        <v>5753515.2534600003</v>
      </c>
      <c r="I6" s="379">
        <f>SUM(I11,I46,I68,I124,I159,I268,I248,I263,)</f>
        <v>4506086.0699800001</v>
      </c>
      <c r="J6" s="379">
        <f>SUM(J11,J46,J68,J124,J159,J268,J248,J263,)</f>
        <v>3802880.5403200001</v>
      </c>
      <c r="K6" s="379">
        <f>SUM(K11,K46,K68,K124,K159,K268,K248,K263,)</f>
        <v>129072.65355</v>
      </c>
      <c r="L6" s="226">
        <f t="shared" ref="L6:L18" si="0">J6/H6</f>
        <v>0.66096644795250281</v>
      </c>
      <c r="M6" s="1076"/>
      <c r="N6" s="1078"/>
    </row>
    <row r="7" spans="1:14" x14ac:dyDescent="0.25">
      <c r="A7" s="758"/>
      <c r="B7" s="759"/>
      <c r="C7" s="759"/>
      <c r="D7" s="759"/>
      <c r="E7" s="760"/>
      <c r="F7" s="378" t="s">
        <v>663</v>
      </c>
      <c r="G7" s="379">
        <f>SUM(G12,G47,G69,G125,G160,G269)</f>
        <v>1598734.43</v>
      </c>
      <c r="H7" s="379">
        <f>SUM(H12,H47,H69,H125,H160,H269,)</f>
        <v>2258555.0999999996</v>
      </c>
      <c r="I7" s="379">
        <f>SUM(I12,I47,I69,I125,I160,I269,)</f>
        <v>2154356.2999999998</v>
      </c>
      <c r="J7" s="379">
        <f>SUM(J12,J47,J69,J125,J160,J269,)</f>
        <v>1566180.9961699999</v>
      </c>
      <c r="K7" s="379">
        <f>SUM(K69,K12,K47,K125,K160,K269,)</f>
        <v>16582.7</v>
      </c>
      <c r="L7" s="226">
        <f>J7/H7</f>
        <v>0.69344378455500166</v>
      </c>
      <c r="M7" s="1076"/>
      <c r="N7" s="1078"/>
    </row>
    <row r="8" spans="1:14" x14ac:dyDescent="0.25">
      <c r="A8" s="758"/>
      <c r="B8" s="759"/>
      <c r="C8" s="759"/>
      <c r="D8" s="759"/>
      <c r="E8" s="760"/>
      <c r="F8" s="378" t="s">
        <v>6</v>
      </c>
      <c r="G8" s="379">
        <f>SUM(G48,G70,G126,G161,G270,G13,)</f>
        <v>737461.93663999997</v>
      </c>
      <c r="H8" s="379">
        <f>SUM(H48,H70,H126,H161,H270,H13,)</f>
        <v>524198.56859000004</v>
      </c>
      <c r="I8" s="379">
        <f>SUM(I48,I70,I126,I161,I270,I13,)</f>
        <v>523739.16865999997</v>
      </c>
      <c r="J8" s="379">
        <f>SUM(J48,J70,J126,J161,J270,J13,)</f>
        <v>497752.42024999997</v>
      </c>
      <c r="K8" s="379">
        <f>SUM(K70,K161,K48,K13,K126,K270,)</f>
        <v>3441.0885899999998</v>
      </c>
      <c r="L8" s="226">
        <f t="shared" si="0"/>
        <v>0.94954936940950552</v>
      </c>
      <c r="M8" s="1076"/>
      <c r="N8" s="1078"/>
    </row>
    <row r="9" spans="1:14" x14ac:dyDescent="0.25">
      <c r="A9" s="761"/>
      <c r="B9" s="762"/>
      <c r="C9" s="762"/>
      <c r="D9" s="762"/>
      <c r="E9" s="763"/>
      <c r="F9" s="378" t="s">
        <v>7</v>
      </c>
      <c r="G9" s="379">
        <f>SUM(G162,G249,G71,G127,G14,)</f>
        <v>95430.6</v>
      </c>
      <c r="H9" s="379">
        <f>SUM(H162,H249,H71,H127,H14)</f>
        <v>320490.90000000002</v>
      </c>
      <c r="I9" s="379">
        <f>SUM(I162,I249,I71,I127,I14,)</f>
        <v>22866</v>
      </c>
      <c r="J9" s="379">
        <f>SUM(J249,J14,J71,J127,J162,)</f>
        <v>5216</v>
      </c>
      <c r="K9" s="379">
        <f>SUM(K14,K71,K127,K162,K249,)</f>
        <v>0</v>
      </c>
      <c r="L9" s="226">
        <f t="shared" si="0"/>
        <v>1.6275033082062546E-2</v>
      </c>
      <c r="M9" s="1076"/>
      <c r="N9" s="1078"/>
    </row>
    <row r="10" spans="1:14" ht="21" x14ac:dyDescent="0.25">
      <c r="A10" s="787" t="s">
        <v>1272</v>
      </c>
      <c r="B10" s="920"/>
      <c r="C10" s="920"/>
      <c r="D10" s="920"/>
      <c r="E10" s="921"/>
      <c r="F10" s="545" t="s">
        <v>3</v>
      </c>
      <c r="G10" s="557">
        <f>SUM(G11:G14)</f>
        <v>869053.1</v>
      </c>
      <c r="H10" s="557">
        <f>H11+H12+H14</f>
        <v>873687.49999999988</v>
      </c>
      <c r="I10" s="557">
        <f>I11+I12</f>
        <v>659368</v>
      </c>
      <c r="J10" s="557">
        <f>J11+J12</f>
        <v>456865.05999999994</v>
      </c>
      <c r="K10" s="557">
        <f>K11+K12</f>
        <v>5393.7237100000002</v>
      </c>
      <c r="L10" s="558">
        <f t="shared" si="0"/>
        <v>0.52291587094928105</v>
      </c>
      <c r="M10" s="927"/>
      <c r="N10" s="1079"/>
    </row>
    <row r="11" spans="1:14" x14ac:dyDescent="0.25">
      <c r="A11" s="839"/>
      <c r="B11" s="922"/>
      <c r="C11" s="922"/>
      <c r="D11" s="922"/>
      <c r="E11" s="923"/>
      <c r="F11" s="548" t="s">
        <v>181</v>
      </c>
      <c r="G11" s="559">
        <f>G17+G20+G28+G23+G31+G36+G41</f>
        <v>298844.90000000002</v>
      </c>
      <c r="H11" s="559">
        <f>SUM(H17,H20,H28,H23,H31,H36,H41,)</f>
        <v>354233.99999999994</v>
      </c>
      <c r="I11" s="559">
        <f>I17+I20+I28+I23+I31+I36+I41</f>
        <v>243952.4</v>
      </c>
      <c r="J11" s="559">
        <f>J17+J20+J28+J23+J31+J36+J41</f>
        <v>148091.25999999998</v>
      </c>
      <c r="K11" s="559">
        <f>SUM(K17+K23+K28+K31+K36+K41)</f>
        <v>5393.7237100000002</v>
      </c>
      <c r="L11" s="558">
        <f t="shared" si="0"/>
        <v>0.41806054754766625</v>
      </c>
      <c r="M11" s="928"/>
      <c r="N11" s="1080"/>
    </row>
    <row r="12" spans="1:14" x14ac:dyDescent="0.25">
      <c r="A12" s="839"/>
      <c r="B12" s="922"/>
      <c r="C12" s="922"/>
      <c r="D12" s="922"/>
      <c r="E12" s="923"/>
      <c r="F12" s="548" t="s">
        <v>5</v>
      </c>
      <c r="G12" s="559">
        <f>G29+G18+G21+G24+G32+G37+G42</f>
        <v>563308.19999999995</v>
      </c>
      <c r="H12" s="559">
        <f>H18+H21+H29+H24+H32+H37+H42</f>
        <v>415415.6</v>
      </c>
      <c r="I12" s="559">
        <f>I18+I21+I29+I24+I32+I37+I42</f>
        <v>415415.6</v>
      </c>
      <c r="J12" s="559">
        <f>SUM(J18+J21+J24+J29+J32+J37+J42)</f>
        <v>308773.8</v>
      </c>
      <c r="K12" s="559">
        <f>SUM(K18+K21+K24+K29+K32+K37+K42)</f>
        <v>0</v>
      </c>
      <c r="L12" s="558">
        <f t="shared" si="0"/>
        <v>0.74328888948802119</v>
      </c>
      <c r="M12" s="565"/>
      <c r="N12" s="566"/>
    </row>
    <row r="13" spans="1:14" x14ac:dyDescent="0.25">
      <c r="A13" s="790"/>
      <c r="B13" s="840"/>
      <c r="C13" s="840"/>
      <c r="D13" s="840"/>
      <c r="E13" s="792"/>
      <c r="F13" s="548" t="s">
        <v>6</v>
      </c>
      <c r="G13" s="559">
        <f>G25+G33+G38+G43</f>
        <v>0</v>
      </c>
      <c r="H13" s="559">
        <f t="shared" ref="H13:K14" si="1">SUM(H25+H33+H38+H43)</f>
        <v>0</v>
      </c>
      <c r="I13" s="559">
        <f t="shared" si="1"/>
        <v>0</v>
      </c>
      <c r="J13" s="559">
        <f t="shared" si="1"/>
        <v>0</v>
      </c>
      <c r="K13" s="559">
        <f t="shared" si="1"/>
        <v>0</v>
      </c>
      <c r="L13" s="558">
        <v>0</v>
      </c>
      <c r="M13" s="565"/>
      <c r="N13" s="566"/>
    </row>
    <row r="14" spans="1:14" x14ac:dyDescent="0.25">
      <c r="A14" s="793"/>
      <c r="B14" s="794"/>
      <c r="C14" s="794"/>
      <c r="D14" s="794"/>
      <c r="E14" s="795"/>
      <c r="F14" s="548" t="s">
        <v>7</v>
      </c>
      <c r="G14" s="559">
        <f>G26+G34+G39+G44</f>
        <v>6900</v>
      </c>
      <c r="H14" s="559">
        <f t="shared" si="1"/>
        <v>104037.9</v>
      </c>
      <c r="I14" s="559">
        <f t="shared" si="1"/>
        <v>0</v>
      </c>
      <c r="J14" s="559">
        <f t="shared" si="1"/>
        <v>0</v>
      </c>
      <c r="K14" s="559">
        <f t="shared" si="1"/>
        <v>0</v>
      </c>
      <c r="L14" s="558">
        <v>0</v>
      </c>
      <c r="M14" s="567"/>
      <c r="N14" s="566"/>
    </row>
    <row r="15" spans="1:14" x14ac:dyDescent="0.25">
      <c r="A15" s="802" t="s">
        <v>666</v>
      </c>
      <c r="B15" s="803"/>
      <c r="C15" s="803"/>
      <c r="D15" s="803"/>
      <c r="E15" s="803"/>
      <c r="F15" s="803"/>
      <c r="G15" s="803"/>
      <c r="H15" s="803"/>
      <c r="I15" s="803"/>
      <c r="J15" s="803"/>
      <c r="K15" s="803"/>
      <c r="L15" s="803"/>
      <c r="M15" s="803"/>
      <c r="N15" s="804"/>
    </row>
    <row r="16" spans="1:14" x14ac:dyDescent="0.25">
      <c r="A16" s="894">
        <v>1</v>
      </c>
      <c r="B16" s="905" t="s">
        <v>1901</v>
      </c>
      <c r="C16" s="965" t="s">
        <v>1043</v>
      </c>
      <c r="D16" s="965" t="s">
        <v>1273</v>
      </c>
      <c r="E16" s="966">
        <v>2577536</v>
      </c>
      <c r="F16" s="476" t="s">
        <v>3</v>
      </c>
      <c r="G16" s="477">
        <f>SUM(G17:G18)</f>
        <v>515738.4</v>
      </c>
      <c r="H16" s="206">
        <f>SUM(H17:H18)</f>
        <v>608194.39999999991</v>
      </c>
      <c r="I16" s="138">
        <f>SUM(I17:I18)</f>
        <v>593779.30000000005</v>
      </c>
      <c r="J16" s="138">
        <f>SUM(J17:J20)</f>
        <v>440561.8</v>
      </c>
      <c r="K16" s="477">
        <f>K17+K18</f>
        <v>498.02370999999999</v>
      </c>
      <c r="L16" s="113">
        <f t="shared" si="0"/>
        <v>0.72437661379322149</v>
      </c>
      <c r="M16" s="916">
        <v>0.17169999999999999</v>
      </c>
      <c r="N16" s="1062" t="s">
        <v>1902</v>
      </c>
    </row>
    <row r="17" spans="1:14" x14ac:dyDescent="0.25">
      <c r="A17" s="894"/>
      <c r="B17" s="905"/>
      <c r="C17" s="965"/>
      <c r="D17" s="965"/>
      <c r="E17" s="966"/>
      <c r="F17" s="476" t="s">
        <v>181</v>
      </c>
      <c r="G17" s="384">
        <f>3097.4+152641</f>
        <v>155738.4</v>
      </c>
      <c r="H17" s="515">
        <v>192778.8</v>
      </c>
      <c r="I17" s="515">
        <v>178363.7</v>
      </c>
      <c r="J17" s="515">
        <f>129461-498</f>
        <v>128963</v>
      </c>
      <c r="K17" s="516">
        <f>498023.71/1000</f>
        <v>498.02370999999999</v>
      </c>
      <c r="L17" s="113">
        <f t="shared" si="0"/>
        <v>0.6689687870242994</v>
      </c>
      <c r="M17" s="916"/>
      <c r="N17" s="1062"/>
    </row>
    <row r="18" spans="1:14" x14ac:dyDescent="0.25">
      <c r="A18" s="894"/>
      <c r="B18" s="905"/>
      <c r="C18" s="965"/>
      <c r="D18" s="965"/>
      <c r="E18" s="966"/>
      <c r="F18" s="476" t="s">
        <v>5</v>
      </c>
      <c r="G18" s="384">
        <v>360000</v>
      </c>
      <c r="H18" s="517">
        <v>415415.6</v>
      </c>
      <c r="I18" s="515">
        <v>415415.6</v>
      </c>
      <c r="J18" s="515">
        <v>308773.8</v>
      </c>
      <c r="K18" s="515">
        <v>0</v>
      </c>
      <c r="L18" s="113">
        <f t="shared" si="0"/>
        <v>0.74328888948802119</v>
      </c>
      <c r="M18" s="916"/>
      <c r="N18" s="1062"/>
    </row>
    <row r="19" spans="1:14" x14ac:dyDescent="0.25">
      <c r="A19" s="894">
        <v>2</v>
      </c>
      <c r="B19" s="905" t="s">
        <v>1274</v>
      </c>
      <c r="C19" s="965" t="s">
        <v>1043</v>
      </c>
      <c r="D19" s="965" t="s">
        <v>1903</v>
      </c>
      <c r="E19" s="913" t="s">
        <v>1904</v>
      </c>
      <c r="F19" s="476" t="s">
        <v>3</v>
      </c>
      <c r="G19" s="477">
        <f>G20+G21</f>
        <v>0</v>
      </c>
      <c r="H19" s="474">
        <f>H20+H21</f>
        <v>19156.400000000001</v>
      </c>
      <c r="I19" s="477">
        <f>I20+I21</f>
        <v>1412.5</v>
      </c>
      <c r="J19" s="477">
        <f>J20+J21</f>
        <v>1412.5</v>
      </c>
      <c r="K19" s="477">
        <f>K20+K21</f>
        <v>0</v>
      </c>
      <c r="L19" s="381">
        <f>J19/H19</f>
        <v>7.3735148566536499E-2</v>
      </c>
      <c r="M19" s="916">
        <v>3.0000000000000001E-3</v>
      </c>
      <c r="N19" s="1062" t="s">
        <v>1905</v>
      </c>
    </row>
    <row r="20" spans="1:14" x14ac:dyDescent="0.25">
      <c r="A20" s="894"/>
      <c r="B20" s="905"/>
      <c r="C20" s="965"/>
      <c r="D20" s="965"/>
      <c r="E20" s="914"/>
      <c r="F20" s="476" t="s">
        <v>181</v>
      </c>
      <c r="G20" s="477">
        <v>0</v>
      </c>
      <c r="H20" s="377">
        <v>19156.400000000001</v>
      </c>
      <c r="I20" s="515">
        <v>1412.5</v>
      </c>
      <c r="J20" s="515">
        <v>1412.5</v>
      </c>
      <c r="K20" s="477">
        <v>0</v>
      </c>
      <c r="L20" s="381">
        <f t="shared" ref="L20:L48" si="2">J20/H20</f>
        <v>7.3735148566536499E-2</v>
      </c>
      <c r="M20" s="916"/>
      <c r="N20" s="1062"/>
    </row>
    <row r="21" spans="1:14" x14ac:dyDescent="0.25">
      <c r="A21" s="894"/>
      <c r="B21" s="905"/>
      <c r="C21" s="965"/>
      <c r="D21" s="965"/>
      <c r="E21" s="915"/>
      <c r="F21" s="476" t="s">
        <v>5</v>
      </c>
      <c r="G21" s="477">
        <v>0</v>
      </c>
      <c r="H21" s="382">
        <v>0</v>
      </c>
      <c r="I21" s="474">
        <v>0</v>
      </c>
      <c r="J21" s="474">
        <v>0</v>
      </c>
      <c r="K21" s="477">
        <v>0</v>
      </c>
      <c r="L21" s="381">
        <v>0</v>
      </c>
      <c r="M21" s="916"/>
      <c r="N21" s="1062"/>
    </row>
    <row r="22" spans="1:14" x14ac:dyDescent="0.25">
      <c r="A22" s="764">
        <v>3</v>
      </c>
      <c r="B22" s="1063" t="s">
        <v>1906</v>
      </c>
      <c r="C22" s="1066" t="s">
        <v>1907</v>
      </c>
      <c r="D22" s="1068" t="s">
        <v>1908</v>
      </c>
      <c r="E22" s="1071" t="s">
        <v>1909</v>
      </c>
      <c r="F22" s="518" t="s">
        <v>3</v>
      </c>
      <c r="G22" s="475">
        <f>G23+G24+G25+G26</f>
        <v>327077.7</v>
      </c>
      <c r="H22" s="377">
        <f>H23+H24</f>
        <v>51914.6</v>
      </c>
      <c r="I22" s="377">
        <f>I23+I24</f>
        <v>6985.9</v>
      </c>
      <c r="J22" s="377">
        <f>J23+J24</f>
        <v>2090.1999999999998</v>
      </c>
      <c r="K22" s="377">
        <f>K23+K24</f>
        <v>4895.7</v>
      </c>
      <c r="L22" s="113">
        <f>IFERROR(J22/H22,0)</f>
        <v>4.0262276893205377E-2</v>
      </c>
      <c r="M22" s="1055">
        <v>3.9800000000000002E-2</v>
      </c>
      <c r="N22" s="752" t="s">
        <v>1910</v>
      </c>
    </row>
    <row r="23" spans="1:14" x14ac:dyDescent="0.25">
      <c r="A23" s="764"/>
      <c r="B23" s="1064"/>
      <c r="C23" s="1066"/>
      <c r="D23" s="1069"/>
      <c r="E23" s="1072"/>
      <c r="F23" s="518" t="s">
        <v>181</v>
      </c>
      <c r="G23" s="475">
        <v>140058.70000000001</v>
      </c>
      <c r="H23" s="377">
        <v>51914.6</v>
      </c>
      <c r="I23" s="516">
        <f>J23+K23</f>
        <v>6985.9</v>
      </c>
      <c r="J23" s="516">
        <v>2090.1999999999998</v>
      </c>
      <c r="K23" s="516">
        <v>4895.7</v>
      </c>
      <c r="L23" s="113">
        <f t="shared" ref="L23:L44" si="3">IFERROR(J23/H23,0)</f>
        <v>4.0262276893205377E-2</v>
      </c>
      <c r="M23" s="1055"/>
      <c r="N23" s="753"/>
    </row>
    <row r="24" spans="1:14" x14ac:dyDescent="0.25">
      <c r="A24" s="764"/>
      <c r="B24" s="1064"/>
      <c r="C24" s="1066"/>
      <c r="D24" s="1069"/>
      <c r="E24" s="1072"/>
      <c r="F24" s="518" t="s">
        <v>663</v>
      </c>
      <c r="G24" s="475">
        <v>187019</v>
      </c>
      <c r="H24" s="519">
        <v>0</v>
      </c>
      <c r="I24" s="377">
        <v>0</v>
      </c>
      <c r="J24" s="377">
        <v>0</v>
      </c>
      <c r="K24" s="377">
        <v>0</v>
      </c>
      <c r="L24" s="113">
        <f t="shared" si="3"/>
        <v>0</v>
      </c>
      <c r="M24" s="1055"/>
      <c r="N24" s="753"/>
    </row>
    <row r="25" spans="1:14" x14ac:dyDescent="0.25">
      <c r="A25" s="764"/>
      <c r="B25" s="1064"/>
      <c r="C25" s="1066"/>
      <c r="D25" s="1069"/>
      <c r="E25" s="1072"/>
      <c r="F25" s="518" t="s">
        <v>6</v>
      </c>
      <c r="G25" s="475">
        <v>0</v>
      </c>
      <c r="H25" s="519">
        <v>0</v>
      </c>
      <c r="I25" s="377">
        <v>0</v>
      </c>
      <c r="J25" s="377">
        <v>0</v>
      </c>
      <c r="K25" s="377">
        <v>0</v>
      </c>
      <c r="L25" s="113">
        <f t="shared" si="3"/>
        <v>0</v>
      </c>
      <c r="M25" s="1055"/>
      <c r="N25" s="753"/>
    </row>
    <row r="26" spans="1:14" x14ac:dyDescent="0.25">
      <c r="A26" s="768"/>
      <c r="B26" s="1065"/>
      <c r="C26" s="1067"/>
      <c r="D26" s="1070"/>
      <c r="E26" s="1073"/>
      <c r="F26" s="518" t="s">
        <v>7</v>
      </c>
      <c r="G26" s="475">
        <v>0</v>
      </c>
      <c r="H26" s="519">
        <v>0</v>
      </c>
      <c r="I26" s="377">
        <v>0</v>
      </c>
      <c r="J26" s="377">
        <v>0</v>
      </c>
      <c r="K26" s="377">
        <v>0</v>
      </c>
      <c r="L26" s="113">
        <f t="shared" si="3"/>
        <v>0</v>
      </c>
      <c r="M26" s="1055"/>
      <c r="N26" s="754"/>
    </row>
    <row r="27" spans="1:14" x14ac:dyDescent="0.25">
      <c r="A27" s="892">
        <v>4</v>
      </c>
      <c r="B27" s="889" t="s">
        <v>1275</v>
      </c>
      <c r="C27" s="895" t="s">
        <v>1276</v>
      </c>
      <c r="D27" s="895" t="s">
        <v>1911</v>
      </c>
      <c r="E27" s="913">
        <v>103109.1</v>
      </c>
      <c r="F27" s="476" t="s">
        <v>3</v>
      </c>
      <c r="G27" s="377">
        <f>G28+G29</f>
        <v>19337</v>
      </c>
      <c r="H27" s="377">
        <f>H28+H29</f>
        <v>85558.1</v>
      </c>
      <c r="I27" s="377">
        <f>I28+I29</f>
        <v>52364.2</v>
      </c>
      <c r="J27" s="377">
        <f>J28+J29</f>
        <v>11720.86</v>
      </c>
      <c r="K27" s="377">
        <f>K28+K29</f>
        <v>0</v>
      </c>
      <c r="L27" s="113">
        <f t="shared" si="3"/>
        <v>0.13699299072793808</v>
      </c>
      <c r="M27" s="1059">
        <v>0.30120000000000002</v>
      </c>
      <c r="N27" s="777" t="s">
        <v>1912</v>
      </c>
    </row>
    <row r="28" spans="1:14" x14ac:dyDescent="0.25">
      <c r="A28" s="901"/>
      <c r="B28" s="890"/>
      <c r="C28" s="902"/>
      <c r="D28" s="902"/>
      <c r="E28" s="914"/>
      <c r="F28" s="476" t="s">
        <v>4</v>
      </c>
      <c r="G28" s="384">
        <v>3047.8</v>
      </c>
      <c r="H28" s="520">
        <v>85558.1</v>
      </c>
      <c r="I28" s="520">
        <f>48092.7+4271.5</f>
        <v>52364.2</v>
      </c>
      <c r="J28" s="520">
        <f>4271.5+7449.36</f>
        <v>11720.86</v>
      </c>
      <c r="K28" s="477">
        <v>0</v>
      </c>
      <c r="L28" s="113">
        <f t="shared" si="3"/>
        <v>0.13699299072793808</v>
      </c>
      <c r="M28" s="1060"/>
      <c r="N28" s="778"/>
    </row>
    <row r="29" spans="1:14" x14ac:dyDescent="0.25">
      <c r="A29" s="901"/>
      <c r="B29" s="890"/>
      <c r="C29" s="902"/>
      <c r="D29" s="902"/>
      <c r="E29" s="914"/>
      <c r="F29" s="476" t="s">
        <v>5</v>
      </c>
      <c r="G29" s="521">
        <v>16289.2</v>
      </c>
      <c r="H29" s="474">
        <v>0</v>
      </c>
      <c r="I29" s="475">
        <v>0</v>
      </c>
      <c r="J29" s="475">
        <v>0</v>
      </c>
      <c r="K29" s="477">
        <v>0</v>
      </c>
      <c r="L29" s="113">
        <f t="shared" si="3"/>
        <v>0</v>
      </c>
      <c r="M29" s="1061"/>
      <c r="N29" s="778"/>
    </row>
    <row r="30" spans="1:14" x14ac:dyDescent="0.25">
      <c r="A30" s="764">
        <v>5</v>
      </c>
      <c r="B30" s="1056" t="s">
        <v>1913</v>
      </c>
      <c r="C30" s="816" t="s">
        <v>1914</v>
      </c>
      <c r="D30" s="768" t="s">
        <v>1915</v>
      </c>
      <c r="E30" s="942" t="s">
        <v>1916</v>
      </c>
      <c r="F30" s="518" t="s">
        <v>3</v>
      </c>
      <c r="G30" s="384">
        <f>G31+G32+G33+G34</f>
        <v>4200</v>
      </c>
      <c r="H30" s="520">
        <f>H31+H32+H33+H34</f>
        <v>75550.399999999994</v>
      </c>
      <c r="I30" s="520">
        <f t="shared" ref="I30:K30" si="4">I31+I32+I33+I34</f>
        <v>1512.5</v>
      </c>
      <c r="J30" s="520">
        <f t="shared" si="4"/>
        <v>1512.5</v>
      </c>
      <c r="K30" s="520">
        <f t="shared" si="4"/>
        <v>0</v>
      </c>
      <c r="L30" s="113">
        <f t="shared" si="3"/>
        <v>2.0019748406361847E-2</v>
      </c>
      <c r="M30" s="1055">
        <v>1.24E-2</v>
      </c>
      <c r="N30" s="752" t="s">
        <v>1917</v>
      </c>
    </row>
    <row r="31" spans="1:14" x14ac:dyDescent="0.25">
      <c r="A31" s="764"/>
      <c r="B31" s="1057"/>
      <c r="C31" s="816"/>
      <c r="D31" s="807"/>
      <c r="E31" s="943"/>
      <c r="F31" s="518" t="s">
        <v>181</v>
      </c>
      <c r="G31" s="384">
        <v>0</v>
      </c>
      <c r="H31" s="520">
        <v>1512.5</v>
      </c>
      <c r="I31" s="520">
        <f>H31</f>
        <v>1512.5</v>
      </c>
      <c r="J31" s="520">
        <f>I31</f>
        <v>1512.5</v>
      </c>
      <c r="K31" s="520">
        <v>0</v>
      </c>
      <c r="L31" s="113">
        <f t="shared" si="3"/>
        <v>1</v>
      </c>
      <c r="M31" s="1055"/>
      <c r="N31" s="753"/>
    </row>
    <row r="32" spans="1:14" x14ac:dyDescent="0.25">
      <c r="A32" s="764"/>
      <c r="B32" s="1057"/>
      <c r="C32" s="816"/>
      <c r="D32" s="807"/>
      <c r="E32" s="943"/>
      <c r="F32" s="518" t="s">
        <v>663</v>
      </c>
      <c r="G32" s="384">
        <v>0</v>
      </c>
      <c r="H32" s="516">
        <v>0</v>
      </c>
      <c r="I32" s="516">
        <v>0</v>
      </c>
      <c r="J32" s="516">
        <v>0</v>
      </c>
      <c r="K32" s="516">
        <v>0</v>
      </c>
      <c r="L32" s="113">
        <f t="shared" si="3"/>
        <v>0</v>
      </c>
      <c r="M32" s="1055"/>
      <c r="N32" s="753"/>
    </row>
    <row r="33" spans="1:14" x14ac:dyDescent="0.25">
      <c r="A33" s="764"/>
      <c r="B33" s="1057"/>
      <c r="C33" s="816"/>
      <c r="D33" s="807"/>
      <c r="E33" s="943"/>
      <c r="F33" s="518" t="s">
        <v>6</v>
      </c>
      <c r="G33" s="384">
        <v>0</v>
      </c>
      <c r="H33" s="516">
        <v>0</v>
      </c>
      <c r="I33" s="516">
        <v>0</v>
      </c>
      <c r="J33" s="516">
        <v>0</v>
      </c>
      <c r="K33" s="516">
        <v>0</v>
      </c>
      <c r="L33" s="113">
        <f t="shared" si="3"/>
        <v>0</v>
      </c>
      <c r="M33" s="1055"/>
      <c r="N33" s="753"/>
    </row>
    <row r="34" spans="1:14" x14ac:dyDescent="0.25">
      <c r="A34" s="764"/>
      <c r="B34" s="1058"/>
      <c r="C34" s="816"/>
      <c r="D34" s="808"/>
      <c r="E34" s="944"/>
      <c r="F34" s="518" t="s">
        <v>7</v>
      </c>
      <c r="G34" s="384">
        <v>4200</v>
      </c>
      <c r="H34" s="516">
        <v>74037.899999999994</v>
      </c>
      <c r="I34" s="516">
        <v>0</v>
      </c>
      <c r="J34" s="516">
        <v>0</v>
      </c>
      <c r="K34" s="516">
        <v>0</v>
      </c>
      <c r="L34" s="113">
        <f t="shared" si="3"/>
        <v>0</v>
      </c>
      <c r="M34" s="1055"/>
      <c r="N34" s="754"/>
    </row>
    <row r="35" spans="1:14" x14ac:dyDescent="0.25">
      <c r="A35" s="764">
        <v>6</v>
      </c>
      <c r="B35" s="805" t="s">
        <v>1918</v>
      </c>
      <c r="C35" s="816" t="s">
        <v>1914</v>
      </c>
      <c r="D35" s="768" t="s">
        <v>1919</v>
      </c>
      <c r="E35" s="942" t="s">
        <v>1920</v>
      </c>
      <c r="F35" s="518" t="s">
        <v>3</v>
      </c>
      <c r="G35" s="384">
        <f>G36+G37+G38+G39</f>
        <v>2700</v>
      </c>
      <c r="H35" s="520">
        <f t="shared" ref="H35:K35" si="5">H36+H37+H38+H39</f>
        <v>31316.3</v>
      </c>
      <c r="I35" s="520">
        <f t="shared" si="5"/>
        <v>1316.3</v>
      </c>
      <c r="J35" s="520">
        <f t="shared" si="5"/>
        <v>394.9</v>
      </c>
      <c r="K35" s="520">
        <f t="shared" si="5"/>
        <v>0</v>
      </c>
      <c r="L35" s="113">
        <f t="shared" si="3"/>
        <v>1.261004652529194E-2</v>
      </c>
      <c r="M35" s="1055">
        <v>1.0699999999999999E-2</v>
      </c>
      <c r="N35" s="752" t="s">
        <v>1917</v>
      </c>
    </row>
    <row r="36" spans="1:14" x14ac:dyDescent="0.25">
      <c r="A36" s="764"/>
      <c r="B36" s="805"/>
      <c r="C36" s="816"/>
      <c r="D36" s="807"/>
      <c r="E36" s="943"/>
      <c r="F36" s="518" t="s">
        <v>181</v>
      </c>
      <c r="G36" s="384">
        <v>0</v>
      </c>
      <c r="H36" s="520">
        <v>1316.3</v>
      </c>
      <c r="I36" s="520">
        <v>1316.3</v>
      </c>
      <c r="J36" s="520">
        <v>394.9</v>
      </c>
      <c r="K36" s="520">
        <v>0</v>
      </c>
      <c r="L36" s="113">
        <f t="shared" si="3"/>
        <v>0.3000075970523437</v>
      </c>
      <c r="M36" s="1055"/>
      <c r="N36" s="753"/>
    </row>
    <row r="37" spans="1:14" x14ac:dyDescent="0.25">
      <c r="A37" s="764"/>
      <c r="B37" s="805"/>
      <c r="C37" s="816"/>
      <c r="D37" s="807"/>
      <c r="E37" s="943"/>
      <c r="F37" s="518" t="s">
        <v>663</v>
      </c>
      <c r="G37" s="384">
        <v>0</v>
      </c>
      <c r="H37" s="516">
        <v>0</v>
      </c>
      <c r="I37" s="516">
        <v>0</v>
      </c>
      <c r="J37" s="516">
        <v>0</v>
      </c>
      <c r="K37" s="516">
        <v>0</v>
      </c>
      <c r="L37" s="113">
        <f t="shared" si="3"/>
        <v>0</v>
      </c>
      <c r="M37" s="1055"/>
      <c r="N37" s="753"/>
    </row>
    <row r="38" spans="1:14" x14ac:dyDescent="0.25">
      <c r="A38" s="764"/>
      <c r="B38" s="805"/>
      <c r="C38" s="816"/>
      <c r="D38" s="807"/>
      <c r="E38" s="943"/>
      <c r="F38" s="518" t="s">
        <v>6</v>
      </c>
      <c r="G38" s="384">
        <v>0</v>
      </c>
      <c r="H38" s="516">
        <v>0</v>
      </c>
      <c r="I38" s="516">
        <v>0</v>
      </c>
      <c r="J38" s="516">
        <v>0</v>
      </c>
      <c r="K38" s="516">
        <v>0</v>
      </c>
      <c r="L38" s="113">
        <f t="shared" si="3"/>
        <v>0</v>
      </c>
      <c r="M38" s="1055"/>
      <c r="N38" s="753"/>
    </row>
    <row r="39" spans="1:14" x14ac:dyDescent="0.25">
      <c r="A39" s="764"/>
      <c r="B39" s="805"/>
      <c r="C39" s="816"/>
      <c r="D39" s="808"/>
      <c r="E39" s="944"/>
      <c r="F39" s="518" t="s">
        <v>7</v>
      </c>
      <c r="G39" s="384">
        <v>2700</v>
      </c>
      <c r="H39" s="516">
        <v>30000</v>
      </c>
      <c r="I39" s="516">
        <v>0</v>
      </c>
      <c r="J39" s="516">
        <v>0</v>
      </c>
      <c r="K39" s="516">
        <v>0</v>
      </c>
      <c r="L39" s="113">
        <f t="shared" si="3"/>
        <v>0</v>
      </c>
      <c r="M39" s="1055"/>
      <c r="N39" s="754"/>
    </row>
    <row r="40" spans="1:14" x14ac:dyDescent="0.25">
      <c r="A40" s="764">
        <v>7</v>
      </c>
      <c r="B40" s="752" t="s">
        <v>1921</v>
      </c>
      <c r="C40" s="816" t="s">
        <v>1907</v>
      </c>
      <c r="D40" s="768" t="s">
        <v>1922</v>
      </c>
      <c r="E40" s="942" t="s">
        <v>1923</v>
      </c>
      <c r="F40" s="518" t="s">
        <v>3</v>
      </c>
      <c r="G40" s="384">
        <f>G41+G42+G43+G44</f>
        <v>0</v>
      </c>
      <c r="H40" s="520">
        <f t="shared" ref="H40:K40" si="6">H41+H42+H43+H44</f>
        <v>1997.3</v>
      </c>
      <c r="I40" s="520">
        <f t="shared" si="6"/>
        <v>1997.3</v>
      </c>
      <c r="J40" s="520">
        <f t="shared" si="6"/>
        <v>1997.3</v>
      </c>
      <c r="K40" s="520">
        <f t="shared" si="6"/>
        <v>0</v>
      </c>
      <c r="L40" s="113">
        <f t="shared" si="3"/>
        <v>1</v>
      </c>
      <c r="M40" s="1055">
        <v>1.4E-3</v>
      </c>
      <c r="N40" s="752" t="s">
        <v>1924</v>
      </c>
    </row>
    <row r="41" spans="1:14" x14ac:dyDescent="0.25">
      <c r="A41" s="764"/>
      <c r="B41" s="753"/>
      <c r="C41" s="816"/>
      <c r="D41" s="807"/>
      <c r="E41" s="943"/>
      <c r="F41" s="518" t="s">
        <v>181</v>
      </c>
      <c r="G41" s="384">
        <v>0</v>
      </c>
      <c r="H41" s="520">
        <v>1997.3</v>
      </c>
      <c r="I41" s="520">
        <f>H41</f>
        <v>1997.3</v>
      </c>
      <c r="J41" s="520">
        <f>I41</f>
        <v>1997.3</v>
      </c>
      <c r="K41" s="520">
        <v>0</v>
      </c>
      <c r="L41" s="113">
        <f t="shared" si="3"/>
        <v>1</v>
      </c>
      <c r="M41" s="1055"/>
      <c r="N41" s="753"/>
    </row>
    <row r="42" spans="1:14" x14ac:dyDescent="0.25">
      <c r="A42" s="764"/>
      <c r="B42" s="753"/>
      <c r="C42" s="816"/>
      <c r="D42" s="807"/>
      <c r="E42" s="943"/>
      <c r="F42" s="518" t="s">
        <v>663</v>
      </c>
      <c r="G42" s="384">
        <v>0</v>
      </c>
      <c r="H42" s="516">
        <v>0</v>
      </c>
      <c r="I42" s="516">
        <v>0</v>
      </c>
      <c r="J42" s="516">
        <v>0</v>
      </c>
      <c r="K42" s="516">
        <v>0</v>
      </c>
      <c r="L42" s="113">
        <f t="shared" si="3"/>
        <v>0</v>
      </c>
      <c r="M42" s="1055"/>
      <c r="N42" s="753"/>
    </row>
    <row r="43" spans="1:14" x14ac:dyDescent="0.25">
      <c r="A43" s="764"/>
      <c r="B43" s="753"/>
      <c r="C43" s="816"/>
      <c r="D43" s="807"/>
      <c r="E43" s="943"/>
      <c r="F43" s="518" t="s">
        <v>6</v>
      </c>
      <c r="G43" s="384">
        <v>0</v>
      </c>
      <c r="H43" s="516">
        <v>0</v>
      </c>
      <c r="I43" s="516">
        <v>0</v>
      </c>
      <c r="J43" s="516">
        <v>0</v>
      </c>
      <c r="K43" s="516">
        <v>0</v>
      </c>
      <c r="L43" s="113">
        <f t="shared" si="3"/>
        <v>0</v>
      </c>
      <c r="M43" s="1055"/>
      <c r="N43" s="753"/>
    </row>
    <row r="44" spans="1:14" x14ac:dyDescent="0.25">
      <c r="A44" s="764"/>
      <c r="B44" s="754"/>
      <c r="C44" s="816"/>
      <c r="D44" s="808"/>
      <c r="E44" s="944"/>
      <c r="F44" s="518" t="s">
        <v>7</v>
      </c>
      <c r="G44" s="384">
        <v>0</v>
      </c>
      <c r="H44" s="516">
        <v>0</v>
      </c>
      <c r="I44" s="516">
        <v>0</v>
      </c>
      <c r="J44" s="516">
        <v>0</v>
      </c>
      <c r="K44" s="516">
        <v>0</v>
      </c>
      <c r="L44" s="113">
        <f t="shared" si="3"/>
        <v>0</v>
      </c>
      <c r="M44" s="1055"/>
      <c r="N44" s="754"/>
    </row>
    <row r="45" spans="1:14" ht="21" x14ac:dyDescent="0.25">
      <c r="A45" s="787" t="s">
        <v>1277</v>
      </c>
      <c r="B45" s="788"/>
      <c r="C45" s="788"/>
      <c r="D45" s="788"/>
      <c r="E45" s="789"/>
      <c r="F45" s="545" t="s">
        <v>3</v>
      </c>
      <c r="G45" s="557">
        <f>SUM(G50,G54,G63,G58)</f>
        <v>1481905.2237999998</v>
      </c>
      <c r="H45" s="557">
        <f>SUM(H46:H48)</f>
        <v>490697.70766000001</v>
      </c>
      <c r="I45" s="557">
        <f t="shared" ref="I45:J47" si="7">SUM(I50,I54,I63,I58,)</f>
        <v>490697.70779999997</v>
      </c>
      <c r="J45" s="557">
        <f t="shared" si="7"/>
        <v>210239.72461999999</v>
      </c>
      <c r="K45" s="557">
        <f>SUM(K46:K48)</f>
        <v>43459.059710000001</v>
      </c>
      <c r="L45" s="558">
        <f>J45/H45</f>
        <v>0.42845059460859186</v>
      </c>
      <c r="M45" s="1051"/>
      <c r="N45" s="1052"/>
    </row>
    <row r="46" spans="1:14" x14ac:dyDescent="0.25">
      <c r="A46" s="790"/>
      <c r="B46" s="791"/>
      <c r="C46" s="791"/>
      <c r="D46" s="791"/>
      <c r="E46" s="792"/>
      <c r="F46" s="548" t="s">
        <v>181</v>
      </c>
      <c r="G46" s="559">
        <f>SUM(G51,G55,G64,G59)</f>
        <v>630638.05379999999</v>
      </c>
      <c r="H46" s="559">
        <f>SUM(H51,H55,H64,H59,)</f>
        <v>172781.28766</v>
      </c>
      <c r="I46" s="559">
        <f t="shared" si="7"/>
        <v>172781.28772999998</v>
      </c>
      <c r="J46" s="559">
        <f t="shared" si="7"/>
        <v>115130.20819999999</v>
      </c>
      <c r="K46" s="559">
        <f>SUM(K51+K55+K64)</f>
        <v>40535.419710000002</v>
      </c>
      <c r="L46" s="560">
        <f t="shared" si="2"/>
        <v>0.6663349356821201</v>
      </c>
      <c r="M46" s="1051"/>
      <c r="N46" s="1052"/>
    </row>
    <row r="47" spans="1:14" x14ac:dyDescent="0.25">
      <c r="A47" s="790"/>
      <c r="B47" s="791"/>
      <c r="C47" s="791"/>
      <c r="D47" s="791"/>
      <c r="E47" s="792"/>
      <c r="F47" s="548" t="s">
        <v>663</v>
      </c>
      <c r="G47" s="559">
        <f>SUM(G52,G56,G65,G60,)</f>
        <v>536542.03</v>
      </c>
      <c r="H47" s="559">
        <f>SUM(H52,H56,H65,H60,)</f>
        <v>222089.60000000001</v>
      </c>
      <c r="I47" s="559">
        <f t="shared" si="7"/>
        <v>222089.60000000001</v>
      </c>
      <c r="J47" s="559">
        <f t="shared" si="7"/>
        <v>19321.996169999999</v>
      </c>
      <c r="K47" s="559">
        <f>SUM(K52+K56+K65)</f>
        <v>0</v>
      </c>
      <c r="L47" s="560">
        <f t="shared" si="2"/>
        <v>8.7000904905047319E-2</v>
      </c>
      <c r="M47" s="1051"/>
      <c r="N47" s="1052"/>
    </row>
    <row r="48" spans="1:14" x14ac:dyDescent="0.25">
      <c r="A48" s="793"/>
      <c r="B48" s="794"/>
      <c r="C48" s="794"/>
      <c r="D48" s="794"/>
      <c r="E48" s="795"/>
      <c r="F48" s="548" t="s">
        <v>6</v>
      </c>
      <c r="G48" s="559">
        <f>SUM(G53,G57,G66,G61,)</f>
        <v>314725.14</v>
      </c>
      <c r="H48" s="559">
        <f>SUM(H53,H57,H66,H61,)</f>
        <v>95826.82</v>
      </c>
      <c r="I48" s="559">
        <f>SUM(I53,I57,I66,)</f>
        <v>95826.820070000002</v>
      </c>
      <c r="J48" s="559">
        <f>SUM(J53,J57,J66,J61,)</f>
        <v>75787.520250000001</v>
      </c>
      <c r="K48" s="559">
        <f>SUM(K66)</f>
        <v>2923.64</v>
      </c>
      <c r="L48" s="560">
        <f t="shared" si="2"/>
        <v>0.79088005059543864</v>
      </c>
      <c r="M48" s="1051"/>
      <c r="N48" s="1052"/>
    </row>
    <row r="49" spans="1:14" x14ac:dyDescent="0.25">
      <c r="A49" s="802" t="s">
        <v>1037</v>
      </c>
      <c r="B49" s="803"/>
      <c r="C49" s="803"/>
      <c r="D49" s="803"/>
      <c r="E49" s="803"/>
      <c r="F49" s="803"/>
      <c r="G49" s="803"/>
      <c r="H49" s="803"/>
      <c r="I49" s="803"/>
      <c r="J49" s="803"/>
      <c r="K49" s="803"/>
      <c r="L49" s="803"/>
      <c r="M49" s="803"/>
      <c r="N49" s="804"/>
    </row>
    <row r="50" spans="1:14" ht="21" x14ac:dyDescent="0.25">
      <c r="A50" s="892">
        <v>8</v>
      </c>
      <c r="B50" s="899" t="s">
        <v>1038</v>
      </c>
      <c r="C50" s="892" t="s">
        <v>1039</v>
      </c>
      <c r="D50" s="892" t="s">
        <v>1278</v>
      </c>
      <c r="E50" s="913">
        <v>1577294.4</v>
      </c>
      <c r="F50" s="119" t="s">
        <v>3</v>
      </c>
      <c r="G50" s="380">
        <f>SUM(G51:G53)</f>
        <v>857703.26</v>
      </c>
      <c r="H50" s="385">
        <f>SUM(H51:H53)</f>
        <v>184368.54</v>
      </c>
      <c r="I50" s="385">
        <f>SUM(I51:I53)</f>
        <v>184368.54014</v>
      </c>
      <c r="J50" s="380">
        <f>SUM(J51:J53)</f>
        <v>150137.2205</v>
      </c>
      <c r="K50" s="380">
        <f>SUM(K51:K51)</f>
        <v>0</v>
      </c>
      <c r="L50" s="227">
        <f>J50/H50</f>
        <v>0.81433210080201313</v>
      </c>
      <c r="M50" s="937">
        <v>0.108</v>
      </c>
      <c r="N50" s="889" t="s">
        <v>1925</v>
      </c>
    </row>
    <row r="51" spans="1:14" x14ac:dyDescent="0.25">
      <c r="A51" s="901"/>
      <c r="B51" s="904"/>
      <c r="C51" s="901"/>
      <c r="D51" s="901"/>
      <c r="E51" s="914"/>
      <c r="F51" s="476" t="s">
        <v>181</v>
      </c>
      <c r="G51" s="207">
        <v>279915.75</v>
      </c>
      <c r="H51" s="207">
        <v>92184.27</v>
      </c>
      <c r="I51" s="522">
        <v>92184.270069999999</v>
      </c>
      <c r="J51" s="523">
        <v>75068.610249999998</v>
      </c>
      <c r="K51" s="477">
        <v>0</v>
      </c>
      <c r="L51" s="113">
        <f>J51/H51</f>
        <v>0.81433210080201313</v>
      </c>
      <c r="M51" s="967"/>
      <c r="N51" s="1049"/>
    </row>
    <row r="52" spans="1:14" x14ac:dyDescent="0.25">
      <c r="A52" s="1053"/>
      <c r="B52" s="1054"/>
      <c r="C52" s="1053"/>
      <c r="D52" s="1053"/>
      <c r="E52" s="1053"/>
      <c r="F52" s="476" t="s">
        <v>5</v>
      </c>
      <c r="G52" s="207">
        <v>277019.5</v>
      </c>
      <c r="H52" s="207">
        <v>0</v>
      </c>
      <c r="I52" s="522">
        <v>0</v>
      </c>
      <c r="J52" s="523">
        <v>0</v>
      </c>
      <c r="K52" s="477">
        <v>0</v>
      </c>
      <c r="L52" s="113">
        <v>0</v>
      </c>
      <c r="M52" s="1053"/>
      <c r="N52" s="1049"/>
    </row>
    <row r="53" spans="1:14" x14ac:dyDescent="0.25">
      <c r="A53" s="1028"/>
      <c r="B53" s="1035"/>
      <c r="C53" s="1028"/>
      <c r="D53" s="1028"/>
      <c r="E53" s="1028"/>
      <c r="F53" s="476" t="s">
        <v>6</v>
      </c>
      <c r="G53" s="207">
        <f>279915.75+3017.46+17834.8</f>
        <v>300768.01</v>
      </c>
      <c r="H53" s="207">
        <v>92184.27</v>
      </c>
      <c r="I53" s="522">
        <v>92184.270069999999</v>
      </c>
      <c r="J53" s="523">
        <v>75068.610249999998</v>
      </c>
      <c r="K53" s="477">
        <v>0</v>
      </c>
      <c r="L53" s="113">
        <v>7.0000000000000001E-3</v>
      </c>
      <c r="M53" s="1028"/>
      <c r="N53" s="1050"/>
    </row>
    <row r="54" spans="1:14" ht="21" x14ac:dyDescent="0.25">
      <c r="A54" s="892">
        <v>9</v>
      </c>
      <c r="B54" s="899" t="s">
        <v>1040</v>
      </c>
      <c r="C54" s="892" t="s">
        <v>1279</v>
      </c>
      <c r="D54" s="892" t="s">
        <v>1926</v>
      </c>
      <c r="E54" s="913" t="s">
        <v>1280</v>
      </c>
      <c r="F54" s="119" t="s">
        <v>3</v>
      </c>
      <c r="G54" s="380">
        <f>SUM(G55:G57)</f>
        <v>409798.67379999999</v>
      </c>
      <c r="H54" s="380">
        <f>SUM(H55:H57)</f>
        <v>26402.36</v>
      </c>
      <c r="I54" s="380">
        <f>SUM(I55:I57)</f>
        <v>26402.36</v>
      </c>
      <c r="J54" s="380">
        <f>SUM(J55:J57)</f>
        <v>26402.36</v>
      </c>
      <c r="K54" s="380">
        <f>SUM(K55:K57)</f>
        <v>0</v>
      </c>
      <c r="L54" s="227">
        <f t="shared" ref="L54:L55" si="8">J54/H54</f>
        <v>1</v>
      </c>
      <c r="M54" s="937" t="s">
        <v>41</v>
      </c>
      <c r="N54" s="889" t="s">
        <v>1927</v>
      </c>
    </row>
    <row r="55" spans="1:14" x14ac:dyDescent="0.25">
      <c r="A55" s="901"/>
      <c r="B55" s="904"/>
      <c r="C55" s="901"/>
      <c r="D55" s="901"/>
      <c r="E55" s="914"/>
      <c r="F55" s="476" t="s">
        <v>181</v>
      </c>
      <c r="G55" s="472">
        <v>222374.8738</v>
      </c>
      <c r="H55" s="472">
        <v>26402.36</v>
      </c>
      <c r="I55" s="472">
        <v>26402.36</v>
      </c>
      <c r="J55" s="472">
        <v>26402.36</v>
      </c>
      <c r="K55" s="199">
        <v>0</v>
      </c>
      <c r="L55" s="200">
        <f t="shared" si="8"/>
        <v>1</v>
      </c>
      <c r="M55" s="967"/>
      <c r="N55" s="890"/>
    </row>
    <row r="56" spans="1:14" x14ac:dyDescent="0.25">
      <c r="A56" s="901"/>
      <c r="B56" s="904"/>
      <c r="C56" s="901"/>
      <c r="D56" s="901"/>
      <c r="E56" s="914"/>
      <c r="F56" s="476" t="s">
        <v>663</v>
      </c>
      <c r="G56" s="472">
        <v>187423.8</v>
      </c>
      <c r="H56" s="472">
        <v>0</v>
      </c>
      <c r="I56" s="472">
        <v>0</v>
      </c>
      <c r="J56" s="474">
        <v>0</v>
      </c>
      <c r="K56" s="199">
        <v>0</v>
      </c>
      <c r="L56" s="200">
        <v>0</v>
      </c>
      <c r="M56" s="967"/>
      <c r="N56" s="890"/>
    </row>
    <row r="57" spans="1:14" x14ac:dyDescent="0.25">
      <c r="A57" s="893"/>
      <c r="B57" s="900"/>
      <c r="C57" s="893"/>
      <c r="D57" s="893"/>
      <c r="E57" s="915"/>
      <c r="F57" s="476" t="s">
        <v>6</v>
      </c>
      <c r="G57" s="477">
        <v>0</v>
      </c>
      <c r="H57" s="199">
        <v>0</v>
      </c>
      <c r="I57" s="199">
        <v>0</v>
      </c>
      <c r="J57" s="199">
        <v>0</v>
      </c>
      <c r="K57" s="477">
        <v>0</v>
      </c>
      <c r="L57" s="113">
        <v>0</v>
      </c>
      <c r="M57" s="938"/>
      <c r="N57" s="891"/>
    </row>
    <row r="58" spans="1:14" x14ac:dyDescent="0.25">
      <c r="A58" s="1040">
        <v>10</v>
      </c>
      <c r="B58" s="1041" t="s">
        <v>1928</v>
      </c>
      <c r="C58" s="816" t="s">
        <v>1929</v>
      </c>
      <c r="D58" s="942" t="s">
        <v>1930</v>
      </c>
      <c r="E58" s="1045">
        <v>667559.24</v>
      </c>
      <c r="F58" s="469" t="s">
        <v>3</v>
      </c>
      <c r="G58" s="385">
        <f>G59+G60+G61+G62</f>
        <v>3087.6400000000003</v>
      </c>
      <c r="H58" s="385">
        <f t="shared" ref="H58:K58" si="9">H59+H60+H61+H62</f>
        <v>222089.60000000001</v>
      </c>
      <c r="I58" s="385">
        <f t="shared" si="9"/>
        <v>222089.60000000001</v>
      </c>
      <c r="J58" s="385">
        <f t="shared" si="9"/>
        <v>19321.996169999999</v>
      </c>
      <c r="K58" s="385">
        <f t="shared" si="9"/>
        <v>0</v>
      </c>
      <c r="L58" s="200">
        <f t="shared" ref="L58:L60" si="10">J58/H58</f>
        <v>8.7000904905047319E-2</v>
      </c>
      <c r="M58" s="1048">
        <v>3.4000000000000002E-2</v>
      </c>
      <c r="N58" s="878" t="s">
        <v>1931</v>
      </c>
    </row>
    <row r="59" spans="1:14" x14ac:dyDescent="0.25">
      <c r="A59" s="1040"/>
      <c r="B59" s="1041"/>
      <c r="C59" s="1042"/>
      <c r="D59" s="1043"/>
      <c r="E59" s="1046"/>
      <c r="F59" s="469" t="s">
        <v>181</v>
      </c>
      <c r="G59" s="524">
        <v>2933.26</v>
      </c>
      <c r="H59" s="207">
        <v>0</v>
      </c>
      <c r="I59" s="207">
        <v>0</v>
      </c>
      <c r="J59" s="199">
        <v>0</v>
      </c>
      <c r="K59" s="199">
        <v>0</v>
      </c>
      <c r="L59" s="200">
        <v>0</v>
      </c>
      <c r="M59" s="1043"/>
      <c r="N59" s="879"/>
    </row>
    <row r="60" spans="1:14" x14ac:dyDescent="0.25">
      <c r="A60" s="1040"/>
      <c r="B60" s="1041"/>
      <c r="C60" s="1042"/>
      <c r="D60" s="1043"/>
      <c r="E60" s="1046"/>
      <c r="F60" s="469" t="s">
        <v>663</v>
      </c>
      <c r="G60" s="207">
        <v>0</v>
      </c>
      <c r="H60" s="207">
        <v>222089.60000000001</v>
      </c>
      <c r="I60" s="522">
        <v>222089.60000000001</v>
      </c>
      <c r="J60" s="522">
        <v>19321.996169999999</v>
      </c>
      <c r="K60" s="199">
        <v>0</v>
      </c>
      <c r="L60" s="200">
        <f t="shared" si="10"/>
        <v>8.7000904905047319E-2</v>
      </c>
      <c r="M60" s="1043"/>
      <c r="N60" s="879"/>
    </row>
    <row r="61" spans="1:14" x14ac:dyDescent="0.25">
      <c r="A61" s="1040"/>
      <c r="B61" s="1041"/>
      <c r="C61" s="1042"/>
      <c r="D61" s="1043"/>
      <c r="E61" s="1046"/>
      <c r="F61" s="469" t="s">
        <v>6</v>
      </c>
      <c r="G61" s="207">
        <v>154.38</v>
      </c>
      <c r="H61" s="207">
        <v>0</v>
      </c>
      <c r="I61" s="207">
        <v>0</v>
      </c>
      <c r="J61" s="199">
        <v>0</v>
      </c>
      <c r="K61" s="199">
        <v>0</v>
      </c>
      <c r="L61" s="200">
        <v>0</v>
      </c>
      <c r="M61" s="1043"/>
      <c r="N61" s="879"/>
    </row>
    <row r="62" spans="1:14" x14ac:dyDescent="0.25">
      <c r="A62" s="1040"/>
      <c r="B62" s="1041"/>
      <c r="C62" s="1042"/>
      <c r="D62" s="1044"/>
      <c r="E62" s="1047"/>
      <c r="F62" s="469" t="s">
        <v>7</v>
      </c>
      <c r="G62" s="207">
        <v>0</v>
      </c>
      <c r="H62" s="207">
        <v>0</v>
      </c>
      <c r="I62" s="207">
        <v>0</v>
      </c>
      <c r="J62" s="199">
        <v>0</v>
      </c>
      <c r="K62" s="199">
        <v>0</v>
      </c>
      <c r="L62" s="200">
        <v>0</v>
      </c>
      <c r="M62" s="1044"/>
      <c r="N62" s="1036"/>
    </row>
    <row r="63" spans="1:14" x14ac:dyDescent="0.25">
      <c r="A63" s="892">
        <v>11</v>
      </c>
      <c r="B63" s="899" t="s">
        <v>1281</v>
      </c>
      <c r="C63" s="892" t="s">
        <v>1282</v>
      </c>
      <c r="D63" s="892" t="s">
        <v>1932</v>
      </c>
      <c r="E63" s="913">
        <v>269152.86</v>
      </c>
      <c r="F63" s="118" t="s">
        <v>3</v>
      </c>
      <c r="G63" s="385">
        <f>SUM(G64:G66)</f>
        <v>211315.65</v>
      </c>
      <c r="H63" s="385">
        <f>SUM(H64:H66)</f>
        <v>57837.20766</v>
      </c>
      <c r="I63" s="385">
        <f>SUM(I64:I66)</f>
        <v>57837.20766</v>
      </c>
      <c r="J63" s="385">
        <f>SUM(J64:J66)</f>
        <v>14378.14795</v>
      </c>
      <c r="K63" s="385">
        <f>K64+K65+K66</f>
        <v>43459.059710000001</v>
      </c>
      <c r="L63" s="200">
        <f>J63/H63</f>
        <v>0.24859685541049859</v>
      </c>
      <c r="M63" s="937">
        <v>1</v>
      </c>
      <c r="N63" s="1037" t="s">
        <v>1933</v>
      </c>
    </row>
    <row r="64" spans="1:14" x14ac:dyDescent="0.25">
      <c r="A64" s="901"/>
      <c r="B64" s="904"/>
      <c r="C64" s="901"/>
      <c r="D64" s="901"/>
      <c r="E64" s="914"/>
      <c r="F64" s="476" t="s">
        <v>181</v>
      </c>
      <c r="G64" s="207">
        <v>125414.17</v>
      </c>
      <c r="H64" s="522">
        <v>54194.657659999997</v>
      </c>
      <c r="I64" s="522">
        <v>54194.657659999997</v>
      </c>
      <c r="J64" s="522">
        <v>13659.237950000001</v>
      </c>
      <c r="K64" s="522">
        <v>40535.419710000002</v>
      </c>
      <c r="L64" s="200">
        <v>0</v>
      </c>
      <c r="M64" s="967"/>
      <c r="N64" s="1038"/>
    </row>
    <row r="65" spans="1:14" x14ac:dyDescent="0.25">
      <c r="A65" s="901"/>
      <c r="B65" s="904"/>
      <c r="C65" s="901"/>
      <c r="D65" s="901"/>
      <c r="E65" s="914"/>
      <c r="F65" s="476" t="s">
        <v>663</v>
      </c>
      <c r="G65" s="207">
        <v>72098.73</v>
      </c>
      <c r="H65" s="522">
        <v>0</v>
      </c>
      <c r="I65" s="522">
        <v>0</v>
      </c>
      <c r="J65" s="522">
        <v>0</v>
      </c>
      <c r="K65" s="523">
        <v>0</v>
      </c>
      <c r="L65" s="200">
        <v>0</v>
      </c>
      <c r="M65" s="967"/>
      <c r="N65" s="1038"/>
    </row>
    <row r="66" spans="1:14" x14ac:dyDescent="0.25">
      <c r="A66" s="893"/>
      <c r="B66" s="900"/>
      <c r="C66" s="893"/>
      <c r="D66" s="893"/>
      <c r="E66" s="915"/>
      <c r="F66" s="476" t="s">
        <v>6</v>
      </c>
      <c r="G66" s="207">
        <v>13802.75</v>
      </c>
      <c r="H66" s="522">
        <v>3642.55</v>
      </c>
      <c r="I66" s="522">
        <v>3642.55</v>
      </c>
      <c r="J66" s="522">
        <v>718.91</v>
      </c>
      <c r="K66" s="522">
        <v>2923.64</v>
      </c>
      <c r="L66" s="200">
        <f>J66/H64</f>
        <v>1.3265329666075429E-2</v>
      </c>
      <c r="M66" s="938"/>
      <c r="N66" s="1039"/>
    </row>
    <row r="67" spans="1:14" ht="21" x14ac:dyDescent="0.25">
      <c r="A67" s="787" t="s">
        <v>1283</v>
      </c>
      <c r="B67" s="788"/>
      <c r="C67" s="788"/>
      <c r="D67" s="788"/>
      <c r="E67" s="789"/>
      <c r="F67" s="545" t="s">
        <v>3</v>
      </c>
      <c r="G67" s="557">
        <f>SUM(G68:G71)</f>
        <v>579279.91299999994</v>
      </c>
      <c r="H67" s="564">
        <f>SUM(H68:H71)</f>
        <v>577751.25872000004</v>
      </c>
      <c r="I67" s="557">
        <f>SUM(I68:I70)</f>
        <v>501686.67517</v>
      </c>
      <c r="J67" s="557">
        <f>SUM(J68:J71)</f>
        <v>489806.01645000005</v>
      </c>
      <c r="K67" s="557">
        <f>SUM(K68:K71)</f>
        <v>11880.658719999999</v>
      </c>
      <c r="L67" s="558">
        <f>J67/H67</f>
        <v>0.84778009404109056</v>
      </c>
      <c r="M67" s="927"/>
      <c r="N67" s="930"/>
    </row>
    <row r="68" spans="1:14" x14ac:dyDescent="0.25">
      <c r="A68" s="790"/>
      <c r="B68" s="791"/>
      <c r="C68" s="791"/>
      <c r="D68" s="791"/>
      <c r="E68" s="792"/>
      <c r="F68" s="548" t="s">
        <v>181</v>
      </c>
      <c r="G68" s="559">
        <f>SUM(G74,G78,G81,G84,G89,G94,G99,G104,G109,G114,G119)</f>
        <v>334460.98986999993</v>
      </c>
      <c r="H68" s="559">
        <f>SUM(H74,H78,H81,H84,H89,H94,H99,H104,H109,H114,H119)</f>
        <v>148834.51013000001</v>
      </c>
      <c r="I68" s="559">
        <f>SUM(I74,I84,I104,I114,I119,I81,I94,I99,I109,)</f>
        <v>72769.126579999996</v>
      </c>
      <c r="J68" s="559">
        <f>SUM(J74,J84,J104,J114,J81,J94,J109,)</f>
        <v>61405.916450000004</v>
      </c>
      <c r="K68" s="559">
        <f>SUM(K99+K104+K119)</f>
        <v>11363.210129999999</v>
      </c>
      <c r="L68" s="560">
        <f>J68/H68</f>
        <v>0.41257848328566271</v>
      </c>
      <c r="M68" s="928"/>
      <c r="N68" s="931"/>
    </row>
    <row r="69" spans="1:14" x14ac:dyDescent="0.25">
      <c r="A69" s="790"/>
      <c r="B69" s="791"/>
      <c r="C69" s="791"/>
      <c r="D69" s="791"/>
      <c r="E69" s="792"/>
      <c r="F69" s="548" t="s">
        <v>663</v>
      </c>
      <c r="G69" s="559">
        <f>SUM(G75,G79,G85,G90,G95,G100,G115)</f>
        <v>218861.5</v>
      </c>
      <c r="H69" s="559">
        <f>SUM(H75,H115,H82,H90,H95,)</f>
        <v>424710.7</v>
      </c>
      <c r="I69" s="559">
        <f>SUM(I75,I115,I82,I90,I95,)</f>
        <v>424710.7</v>
      </c>
      <c r="J69" s="559">
        <f>SUM(J75,J115,J82,J90,J95,)</f>
        <v>424710.7</v>
      </c>
      <c r="K69" s="559">
        <f>SUM(K75,K115,)</f>
        <v>0</v>
      </c>
      <c r="L69" s="560">
        <f>J69/H69</f>
        <v>1</v>
      </c>
      <c r="M69" s="928"/>
      <c r="N69" s="931"/>
    </row>
    <row r="70" spans="1:14" x14ac:dyDescent="0.25">
      <c r="A70" s="790"/>
      <c r="B70" s="791"/>
      <c r="C70" s="791"/>
      <c r="D70" s="791"/>
      <c r="E70" s="792"/>
      <c r="F70" s="548" t="s">
        <v>6</v>
      </c>
      <c r="G70" s="559">
        <f>SUM(G76,G86,G116,G121,G106)</f>
        <v>25957.423130000003</v>
      </c>
      <c r="H70" s="559">
        <f>SUM(H76,H86,H91,H96,H101,H106,H116,H121,H111)</f>
        <v>4206.0485899999994</v>
      </c>
      <c r="I70" s="559">
        <f>SUM(I76,I86,I116,I121,I106,I111,I101,I96)</f>
        <v>4206.8485899999996</v>
      </c>
      <c r="J70" s="559">
        <f>SUM(J76,J86,J116,J96,J111,)</f>
        <v>3689.3999999999996</v>
      </c>
      <c r="K70" s="559">
        <f>SUM(K76,K116,K101,K106,K121)</f>
        <v>517.44858999999997</v>
      </c>
      <c r="L70" s="560">
        <f>J70/H70</f>
        <v>0.87716533013233688</v>
      </c>
      <c r="M70" s="928"/>
      <c r="N70" s="931"/>
    </row>
    <row r="71" spans="1:14" x14ac:dyDescent="0.25">
      <c r="A71" s="793"/>
      <c r="B71" s="794"/>
      <c r="C71" s="794"/>
      <c r="D71" s="794"/>
      <c r="E71" s="795"/>
      <c r="F71" s="548" t="s">
        <v>7</v>
      </c>
      <c r="G71" s="559">
        <v>0</v>
      </c>
      <c r="H71" s="559">
        <v>0</v>
      </c>
      <c r="I71" s="559">
        <v>0</v>
      </c>
      <c r="J71" s="559">
        <v>0</v>
      </c>
      <c r="K71" s="559">
        <v>0</v>
      </c>
      <c r="L71" s="560">
        <v>0</v>
      </c>
      <c r="M71" s="929"/>
      <c r="N71" s="932"/>
    </row>
    <row r="72" spans="1:14" x14ac:dyDescent="0.25">
      <c r="A72" s="802" t="s">
        <v>665</v>
      </c>
      <c r="B72" s="933"/>
      <c r="C72" s="933"/>
      <c r="D72" s="933"/>
      <c r="E72" s="933"/>
      <c r="F72" s="933"/>
      <c r="G72" s="933"/>
      <c r="H72" s="933"/>
      <c r="I72" s="933"/>
      <c r="J72" s="933"/>
      <c r="K72" s="933"/>
      <c r="L72" s="933"/>
      <c r="M72" s="933"/>
      <c r="N72" s="934"/>
    </row>
    <row r="73" spans="1:14" ht="21" x14ac:dyDescent="0.25">
      <c r="A73" s="892">
        <v>12</v>
      </c>
      <c r="B73" s="1029" t="s">
        <v>1934</v>
      </c>
      <c r="C73" s="479"/>
      <c r="D73" s="1032" t="s">
        <v>1935</v>
      </c>
      <c r="E73" s="768">
        <v>2269859.2000000002</v>
      </c>
      <c r="F73" s="119" t="s">
        <v>3</v>
      </c>
      <c r="G73" s="525">
        <f>SUM(G74:G76)</f>
        <v>0</v>
      </c>
      <c r="H73" s="525">
        <f>SUM(H74:H76)</f>
        <v>65440</v>
      </c>
      <c r="I73" s="525">
        <f>SUM(I74:I76)</f>
        <v>65440</v>
      </c>
      <c r="J73" s="525">
        <f>SUM(J74:J76)</f>
        <v>65440</v>
      </c>
      <c r="K73" s="525">
        <f>SUM(K74:K76)</f>
        <v>0</v>
      </c>
      <c r="L73" s="386">
        <f>J73/H73</f>
        <v>1</v>
      </c>
      <c r="M73" s="937">
        <v>0.03</v>
      </c>
      <c r="N73" s="899" t="s">
        <v>1936</v>
      </c>
    </row>
    <row r="74" spans="1:14" x14ac:dyDescent="0.25">
      <c r="A74" s="901"/>
      <c r="B74" s="1030"/>
      <c r="C74" s="1022" t="s">
        <v>1937</v>
      </c>
      <c r="D74" s="1033"/>
      <c r="E74" s="1034"/>
      <c r="F74" s="476" t="s">
        <v>4</v>
      </c>
      <c r="G74" s="387">
        <v>0</v>
      </c>
      <c r="H74" s="387">
        <v>0</v>
      </c>
      <c r="I74" s="387">
        <v>0</v>
      </c>
      <c r="J74" s="387">
        <v>0</v>
      </c>
      <c r="K74" s="526">
        <v>0</v>
      </c>
      <c r="L74" s="388">
        <v>0</v>
      </c>
      <c r="M74" s="967"/>
      <c r="N74" s="904"/>
    </row>
    <row r="75" spans="1:14" x14ac:dyDescent="0.25">
      <c r="A75" s="901"/>
      <c r="B75" s="1030"/>
      <c r="C75" s="1022"/>
      <c r="D75" s="1033"/>
      <c r="E75" s="1034"/>
      <c r="F75" s="476" t="s">
        <v>5</v>
      </c>
      <c r="G75" s="387">
        <v>0</v>
      </c>
      <c r="H75" s="527">
        <v>65440</v>
      </c>
      <c r="I75" s="528">
        <v>65440</v>
      </c>
      <c r="J75" s="528">
        <v>65440</v>
      </c>
      <c r="K75" s="526">
        <v>0</v>
      </c>
      <c r="L75" s="388">
        <f t="shared" ref="L75" si="11">J75/H75</f>
        <v>1</v>
      </c>
      <c r="M75" s="967"/>
      <c r="N75" s="904"/>
    </row>
    <row r="76" spans="1:14" x14ac:dyDescent="0.25">
      <c r="A76" s="1028"/>
      <c r="B76" s="1031"/>
      <c r="C76" s="1023"/>
      <c r="D76" s="1033"/>
      <c r="E76" s="1034"/>
      <c r="F76" s="476" t="s">
        <v>6</v>
      </c>
      <c r="G76" s="387">
        <v>0</v>
      </c>
      <c r="H76" s="387">
        <v>0</v>
      </c>
      <c r="I76" s="387">
        <v>0</v>
      </c>
      <c r="J76" s="387">
        <v>0</v>
      </c>
      <c r="K76" s="526">
        <v>0</v>
      </c>
      <c r="L76" s="388">
        <v>0</v>
      </c>
      <c r="M76" s="1028"/>
      <c r="N76" s="1035"/>
    </row>
    <row r="77" spans="1:14" ht="21" x14ac:dyDescent="0.25">
      <c r="A77" s="892">
        <v>13</v>
      </c>
      <c r="B77" s="1024" t="s">
        <v>1041</v>
      </c>
      <c r="C77" s="1007" t="s">
        <v>239</v>
      </c>
      <c r="D77" s="1007" t="s">
        <v>1042</v>
      </c>
      <c r="E77" s="1010">
        <v>500275.8</v>
      </c>
      <c r="F77" s="389" t="s">
        <v>3</v>
      </c>
      <c r="G77" s="525">
        <f>SUM(G78:G79)</f>
        <v>467920.8</v>
      </c>
      <c r="H77" s="525">
        <f>SUM(H78:H79)</f>
        <v>8220.9</v>
      </c>
      <c r="I77" s="525">
        <f>SUM(I78:I79)</f>
        <v>0</v>
      </c>
      <c r="J77" s="525">
        <f>SUM(J78:J79)</f>
        <v>0</v>
      </c>
      <c r="K77" s="525">
        <v>0</v>
      </c>
      <c r="L77" s="390">
        <v>0</v>
      </c>
      <c r="M77" s="1011">
        <v>1</v>
      </c>
      <c r="N77" s="1014" t="s">
        <v>1938</v>
      </c>
    </row>
    <row r="78" spans="1:14" x14ac:dyDescent="0.25">
      <c r="A78" s="901"/>
      <c r="B78" s="1025"/>
      <c r="C78" s="1026"/>
      <c r="D78" s="1026"/>
      <c r="E78" s="1027"/>
      <c r="F78" s="480" t="s">
        <v>4</v>
      </c>
      <c r="G78" s="201">
        <f>81226.5+166327.3+1505.5</f>
        <v>249059.3</v>
      </c>
      <c r="H78" s="391">
        <v>8220.9</v>
      </c>
      <c r="I78" s="391">
        <v>0</v>
      </c>
      <c r="J78" s="391">
        <v>0</v>
      </c>
      <c r="K78" s="526">
        <v>0</v>
      </c>
      <c r="L78" s="392">
        <v>0</v>
      </c>
      <c r="M78" s="1012"/>
      <c r="N78" s="1015"/>
    </row>
    <row r="79" spans="1:14" x14ac:dyDescent="0.25">
      <c r="A79" s="893"/>
      <c r="B79" s="1025"/>
      <c r="C79" s="1026"/>
      <c r="D79" s="1026"/>
      <c r="E79" s="1027"/>
      <c r="F79" s="480" t="s">
        <v>5</v>
      </c>
      <c r="G79" s="529">
        <f>198861.5+20000</f>
        <v>218861.5</v>
      </c>
      <c r="H79" s="391">
        <v>0</v>
      </c>
      <c r="I79" s="391">
        <v>0</v>
      </c>
      <c r="J79" s="391">
        <v>0</v>
      </c>
      <c r="K79" s="526">
        <f>SUM(M123:M124)</f>
        <v>0</v>
      </c>
      <c r="L79" s="392">
        <v>0</v>
      </c>
      <c r="M79" s="1013"/>
      <c r="N79" s="1016"/>
    </row>
    <row r="80" spans="1:14" ht="21" x14ac:dyDescent="0.25">
      <c r="A80" s="892">
        <v>14</v>
      </c>
      <c r="B80" s="1002" t="s">
        <v>1939</v>
      </c>
      <c r="C80" s="1005" t="s">
        <v>1940</v>
      </c>
      <c r="D80" s="1005" t="s">
        <v>1941</v>
      </c>
      <c r="E80" s="1008" t="s">
        <v>1942</v>
      </c>
      <c r="F80" s="389" t="s">
        <v>3</v>
      </c>
      <c r="G80" s="525">
        <f>SUM(G81:G82)</f>
        <v>0</v>
      </c>
      <c r="H80" s="525">
        <f>SUM(H81:H82)</f>
        <v>265001.7</v>
      </c>
      <c r="I80" s="525">
        <f>SUM(I81:I82)</f>
        <v>197157.21645000001</v>
      </c>
      <c r="J80" s="525">
        <f>SUM(J81:J82)</f>
        <v>197157.21645000001</v>
      </c>
      <c r="K80" s="525">
        <v>0</v>
      </c>
      <c r="L80" s="390">
        <f>J80/H80</f>
        <v>0.74398472330554855</v>
      </c>
      <c r="M80" s="1011">
        <v>0.24</v>
      </c>
      <c r="N80" s="1014" t="s">
        <v>1943</v>
      </c>
    </row>
    <row r="81" spans="1:14" x14ac:dyDescent="0.25">
      <c r="A81" s="901"/>
      <c r="B81" s="1003"/>
      <c r="C81" s="1006"/>
      <c r="D81" s="1006"/>
      <c r="E81" s="1009"/>
      <c r="F81" s="480" t="s">
        <v>4</v>
      </c>
      <c r="G81" s="391">
        <v>0</v>
      </c>
      <c r="H81" s="530">
        <v>84525.1</v>
      </c>
      <c r="I81" s="531">
        <v>16680.616449999998</v>
      </c>
      <c r="J81" s="531">
        <v>16680.616449999998</v>
      </c>
      <c r="K81" s="391">
        <v>0</v>
      </c>
      <c r="L81" s="392">
        <f>J81/H81</f>
        <v>0.19734512529414336</v>
      </c>
      <c r="M81" s="1012"/>
      <c r="N81" s="1015"/>
    </row>
    <row r="82" spans="1:14" x14ac:dyDescent="0.25">
      <c r="A82" s="893"/>
      <c r="B82" s="1004"/>
      <c r="C82" s="1007"/>
      <c r="D82" s="1007"/>
      <c r="E82" s="1010"/>
      <c r="F82" s="480" t="s">
        <v>5</v>
      </c>
      <c r="G82" s="393">
        <v>0</v>
      </c>
      <c r="H82" s="530">
        <v>180476.6</v>
      </c>
      <c r="I82" s="531">
        <v>180476.6</v>
      </c>
      <c r="J82" s="531">
        <v>180476.6</v>
      </c>
      <c r="K82" s="393">
        <v>0</v>
      </c>
      <c r="L82" s="392">
        <f>J82/H82</f>
        <v>1</v>
      </c>
      <c r="M82" s="1013"/>
      <c r="N82" s="1016"/>
    </row>
    <row r="83" spans="1:14" ht="21" x14ac:dyDescent="0.25">
      <c r="A83" s="892">
        <v>15</v>
      </c>
      <c r="B83" s="996" t="s">
        <v>1044</v>
      </c>
      <c r="C83" s="1000" t="s">
        <v>1284</v>
      </c>
      <c r="D83" s="971" t="s">
        <v>1944</v>
      </c>
      <c r="E83" s="974">
        <v>115586.8</v>
      </c>
      <c r="F83" s="389" t="s">
        <v>3</v>
      </c>
      <c r="G83" s="394">
        <f>SUM(G84:G87)</f>
        <v>103586.79999999999</v>
      </c>
      <c r="H83" s="394">
        <f>SUM(H84:H87)</f>
        <v>12000</v>
      </c>
      <c r="I83" s="394">
        <f>SUM(I84:I87)</f>
        <v>12000</v>
      </c>
      <c r="J83" s="394">
        <f>SUM(J84:J87)</f>
        <v>12000</v>
      </c>
      <c r="K83" s="394">
        <f>SUM(K84:K87)</f>
        <v>0</v>
      </c>
      <c r="L83" s="202">
        <f>J83/H83</f>
        <v>1</v>
      </c>
      <c r="M83" s="1011">
        <v>1</v>
      </c>
      <c r="N83" s="1017" t="s">
        <v>1945</v>
      </c>
    </row>
    <row r="84" spans="1:14" x14ac:dyDescent="0.25">
      <c r="A84" s="901"/>
      <c r="B84" s="996"/>
      <c r="C84" s="1000"/>
      <c r="D84" s="972"/>
      <c r="E84" s="975"/>
      <c r="F84" s="480" t="s">
        <v>4</v>
      </c>
      <c r="G84" s="532">
        <f>7970.9+69855</f>
        <v>77825.899999999994</v>
      </c>
      <c r="H84" s="533">
        <v>9000</v>
      </c>
      <c r="I84" s="533">
        <v>9000</v>
      </c>
      <c r="J84" s="533">
        <v>9000</v>
      </c>
      <c r="K84" s="393">
        <v>0</v>
      </c>
      <c r="L84" s="395">
        <f>J84/H84</f>
        <v>1</v>
      </c>
      <c r="M84" s="1012"/>
      <c r="N84" s="1018"/>
    </row>
    <row r="85" spans="1:14" x14ac:dyDescent="0.25">
      <c r="A85" s="901"/>
      <c r="B85" s="996"/>
      <c r="C85" s="1000"/>
      <c r="D85" s="972"/>
      <c r="E85" s="975"/>
      <c r="F85" s="480" t="s">
        <v>5</v>
      </c>
      <c r="G85" s="532">
        <v>0</v>
      </c>
      <c r="H85" s="533">
        <v>0</v>
      </c>
      <c r="I85" s="533">
        <v>0</v>
      </c>
      <c r="J85" s="533">
        <v>0</v>
      </c>
      <c r="K85" s="393">
        <v>0</v>
      </c>
      <c r="L85" s="395">
        <v>0</v>
      </c>
      <c r="M85" s="1012"/>
      <c r="N85" s="1018"/>
    </row>
    <row r="86" spans="1:14" x14ac:dyDescent="0.25">
      <c r="A86" s="901"/>
      <c r="B86" s="996"/>
      <c r="C86" s="1000"/>
      <c r="D86" s="972"/>
      <c r="E86" s="975"/>
      <c r="F86" s="480" t="s">
        <v>6</v>
      </c>
      <c r="G86" s="532">
        <f>2475.9+23285</f>
        <v>25760.9</v>
      </c>
      <c r="H86" s="533">
        <v>3000</v>
      </c>
      <c r="I86" s="533">
        <v>3000</v>
      </c>
      <c r="J86" s="533">
        <v>3000</v>
      </c>
      <c r="K86" s="393">
        <v>0</v>
      </c>
      <c r="L86" s="395">
        <f>J86/H86</f>
        <v>1</v>
      </c>
      <c r="M86" s="1012"/>
      <c r="N86" s="1018"/>
    </row>
    <row r="87" spans="1:14" x14ac:dyDescent="0.25">
      <c r="A87" s="893"/>
      <c r="B87" s="996"/>
      <c r="C87" s="1000"/>
      <c r="D87" s="973"/>
      <c r="E87" s="976"/>
      <c r="F87" s="480" t="s">
        <v>7</v>
      </c>
      <c r="G87" s="396">
        <v>0</v>
      </c>
      <c r="H87" s="396">
        <v>0</v>
      </c>
      <c r="I87" s="396">
        <v>0</v>
      </c>
      <c r="J87" s="396">
        <v>0</v>
      </c>
      <c r="K87" s="393">
        <v>0</v>
      </c>
      <c r="L87" s="395">
        <v>0</v>
      </c>
      <c r="M87" s="1013"/>
      <c r="N87" s="1019"/>
    </row>
    <row r="88" spans="1:14" ht="21" x14ac:dyDescent="0.25">
      <c r="A88" s="997">
        <v>16</v>
      </c>
      <c r="B88" s="981" t="s">
        <v>1946</v>
      </c>
      <c r="C88" s="1000" t="s">
        <v>1947</v>
      </c>
      <c r="D88" s="1020" t="s">
        <v>1948</v>
      </c>
      <c r="E88" s="1021">
        <v>1771548.1</v>
      </c>
      <c r="F88" s="389" t="s">
        <v>3</v>
      </c>
      <c r="G88" s="397">
        <f>SUM(G89:G92)</f>
        <v>0</v>
      </c>
      <c r="H88" s="397">
        <f t="shared" ref="H88:K91" si="12">SUM(H89:H92)</f>
        <v>51403.1</v>
      </c>
      <c r="I88" s="397">
        <f t="shared" si="12"/>
        <v>51403.1</v>
      </c>
      <c r="J88" s="397">
        <f t="shared" si="12"/>
        <v>51403.1</v>
      </c>
      <c r="K88" s="397">
        <f t="shared" si="12"/>
        <v>0</v>
      </c>
      <c r="L88" s="398">
        <f>J88/H88</f>
        <v>1</v>
      </c>
      <c r="M88" s="977">
        <v>0.03</v>
      </c>
      <c r="N88" s="984" t="s">
        <v>1949</v>
      </c>
    </row>
    <row r="89" spans="1:14" x14ac:dyDescent="0.25">
      <c r="A89" s="998"/>
      <c r="B89" s="982"/>
      <c r="C89" s="1000"/>
      <c r="D89" s="1020"/>
      <c r="E89" s="1021"/>
      <c r="F89" s="480" t="s">
        <v>4</v>
      </c>
      <c r="G89" s="387">
        <v>0</v>
      </c>
      <c r="H89" s="387">
        <v>0</v>
      </c>
      <c r="I89" s="387">
        <v>0</v>
      </c>
      <c r="J89" s="387">
        <v>0</v>
      </c>
      <c r="K89" s="387">
        <f t="shared" si="12"/>
        <v>0</v>
      </c>
      <c r="L89" s="399">
        <v>0</v>
      </c>
      <c r="M89" s="969"/>
      <c r="N89" s="985"/>
    </row>
    <row r="90" spans="1:14" x14ac:dyDescent="0.25">
      <c r="A90" s="998"/>
      <c r="B90" s="982"/>
      <c r="C90" s="1000"/>
      <c r="D90" s="1020"/>
      <c r="E90" s="1021"/>
      <c r="F90" s="480" t="s">
        <v>5</v>
      </c>
      <c r="G90" s="387">
        <v>0</v>
      </c>
      <c r="H90" s="527">
        <v>51403.1</v>
      </c>
      <c r="I90" s="527">
        <v>51403.1</v>
      </c>
      <c r="J90" s="527">
        <v>51403.1</v>
      </c>
      <c r="K90" s="387">
        <f t="shared" si="12"/>
        <v>0</v>
      </c>
      <c r="L90" s="399">
        <v>0</v>
      </c>
      <c r="M90" s="969"/>
      <c r="N90" s="985"/>
    </row>
    <row r="91" spans="1:14" x14ac:dyDescent="0.25">
      <c r="A91" s="998"/>
      <c r="B91" s="982"/>
      <c r="C91" s="1000"/>
      <c r="D91" s="1020"/>
      <c r="E91" s="1021"/>
      <c r="F91" s="480" t="s">
        <v>6</v>
      </c>
      <c r="G91" s="387">
        <v>0</v>
      </c>
      <c r="H91" s="387">
        <v>0</v>
      </c>
      <c r="I91" s="387">
        <v>0</v>
      </c>
      <c r="J91" s="387">
        <v>0</v>
      </c>
      <c r="K91" s="387">
        <f t="shared" si="12"/>
        <v>0</v>
      </c>
      <c r="L91" s="399">
        <v>0</v>
      </c>
      <c r="M91" s="969"/>
      <c r="N91" s="985"/>
    </row>
    <row r="92" spans="1:14" x14ac:dyDescent="0.25">
      <c r="A92" s="999"/>
      <c r="B92" s="983"/>
      <c r="C92" s="1000"/>
      <c r="D92" s="1020"/>
      <c r="E92" s="1021"/>
      <c r="F92" s="480" t="s">
        <v>7</v>
      </c>
      <c r="G92" s="387">
        <v>0</v>
      </c>
      <c r="H92" s="387">
        <v>0</v>
      </c>
      <c r="I92" s="387">
        <v>0</v>
      </c>
      <c r="J92" s="387">
        <v>0</v>
      </c>
      <c r="K92" s="387">
        <v>0</v>
      </c>
      <c r="L92" s="399">
        <v>0</v>
      </c>
      <c r="M92" s="970"/>
      <c r="N92" s="986"/>
    </row>
    <row r="93" spans="1:14" ht="21" x14ac:dyDescent="0.25">
      <c r="A93" s="997">
        <v>17</v>
      </c>
      <c r="B93" s="996" t="s">
        <v>1950</v>
      </c>
      <c r="C93" s="1000" t="s">
        <v>1951</v>
      </c>
      <c r="D93" s="1000" t="s">
        <v>1952</v>
      </c>
      <c r="E93" s="1001">
        <v>349770.9</v>
      </c>
      <c r="F93" s="389" t="s">
        <v>3</v>
      </c>
      <c r="G93" s="397">
        <f>SUM(G94:G97)</f>
        <v>0</v>
      </c>
      <c r="H93" s="397">
        <f>SUM(H94:H97)</f>
        <v>135522.9</v>
      </c>
      <c r="I93" s="397">
        <f>SUM(I94:I97)</f>
        <v>135522.9</v>
      </c>
      <c r="J93" s="397">
        <f>SUM(J94:J97)</f>
        <v>135522.9</v>
      </c>
      <c r="K93" s="397">
        <f>SUM(K94:K97)</f>
        <v>0</v>
      </c>
      <c r="L93" s="398">
        <f>J93/H93</f>
        <v>1</v>
      </c>
      <c r="M93" s="977">
        <v>0.38</v>
      </c>
      <c r="N93" s="996" t="s">
        <v>1953</v>
      </c>
    </row>
    <row r="94" spans="1:14" x14ac:dyDescent="0.25">
      <c r="A94" s="998"/>
      <c r="B94" s="996"/>
      <c r="C94" s="1000"/>
      <c r="D94" s="1000"/>
      <c r="E94" s="1001"/>
      <c r="F94" s="480" t="s">
        <v>4</v>
      </c>
      <c r="G94" s="387">
        <v>0</v>
      </c>
      <c r="H94" s="534">
        <v>7725.3</v>
      </c>
      <c r="I94" s="534">
        <v>7725.3</v>
      </c>
      <c r="J94" s="534">
        <v>7725.3</v>
      </c>
      <c r="K94" s="387">
        <v>0</v>
      </c>
      <c r="L94" s="399">
        <v>0</v>
      </c>
      <c r="M94" s="969"/>
      <c r="N94" s="996"/>
    </row>
    <row r="95" spans="1:14" x14ac:dyDescent="0.25">
      <c r="A95" s="998"/>
      <c r="B95" s="996"/>
      <c r="C95" s="1000"/>
      <c r="D95" s="1000"/>
      <c r="E95" s="1001"/>
      <c r="F95" s="480" t="s">
        <v>5</v>
      </c>
      <c r="G95" s="387">
        <v>0</v>
      </c>
      <c r="H95" s="534">
        <v>127391</v>
      </c>
      <c r="I95" s="534">
        <v>127391</v>
      </c>
      <c r="J95" s="534">
        <v>127391</v>
      </c>
      <c r="K95" s="387">
        <v>0</v>
      </c>
      <c r="L95" s="399">
        <v>0</v>
      </c>
      <c r="M95" s="969"/>
      <c r="N95" s="996"/>
    </row>
    <row r="96" spans="1:14" x14ac:dyDescent="0.25">
      <c r="A96" s="998"/>
      <c r="B96" s="996"/>
      <c r="C96" s="1000"/>
      <c r="D96" s="1000"/>
      <c r="E96" s="1001"/>
      <c r="F96" s="480" t="s">
        <v>6</v>
      </c>
      <c r="G96" s="387">
        <v>0</v>
      </c>
      <c r="H96" s="534">
        <v>406.6</v>
      </c>
      <c r="I96" s="534">
        <v>406.6</v>
      </c>
      <c r="J96" s="534">
        <v>406.6</v>
      </c>
      <c r="K96" s="387">
        <v>0</v>
      </c>
      <c r="L96" s="399">
        <v>0</v>
      </c>
      <c r="M96" s="969"/>
      <c r="N96" s="996"/>
    </row>
    <row r="97" spans="1:14" x14ac:dyDescent="0.25">
      <c r="A97" s="999"/>
      <c r="B97" s="996"/>
      <c r="C97" s="1000"/>
      <c r="D97" s="1000"/>
      <c r="E97" s="1001"/>
      <c r="F97" s="480" t="s">
        <v>7</v>
      </c>
      <c r="G97" s="387">
        <v>0</v>
      </c>
      <c r="H97" s="387">
        <v>0</v>
      </c>
      <c r="I97" s="387">
        <v>0</v>
      </c>
      <c r="J97" s="387">
        <v>0</v>
      </c>
      <c r="K97" s="387">
        <v>0</v>
      </c>
      <c r="L97" s="399">
        <v>0</v>
      </c>
      <c r="M97" s="970"/>
      <c r="N97" s="996"/>
    </row>
    <row r="98" spans="1:14" ht="21" x14ac:dyDescent="0.25">
      <c r="A98" s="400"/>
      <c r="B98" s="981" t="s">
        <v>1285</v>
      </c>
      <c r="C98" s="968" t="s">
        <v>1286</v>
      </c>
      <c r="D98" s="987" t="s">
        <v>1954</v>
      </c>
      <c r="E98" s="990">
        <v>6815.8</v>
      </c>
      <c r="F98" s="389" t="s">
        <v>3</v>
      </c>
      <c r="G98" s="397">
        <f>SUM(G99:G102)</f>
        <v>0</v>
      </c>
      <c r="H98" s="397">
        <f>SUM(H99:H102)</f>
        <v>6815</v>
      </c>
      <c r="I98" s="397">
        <f>SUM(I99:I102)</f>
        <v>6815.8</v>
      </c>
      <c r="J98" s="397">
        <f>SUM(J99:J102)</f>
        <v>0</v>
      </c>
      <c r="K98" s="397">
        <f>SUM(K99:K102)</f>
        <v>6815.8</v>
      </c>
      <c r="L98" s="398">
        <f>K98/H98</f>
        <v>1.0001173881144534</v>
      </c>
      <c r="M98" s="977">
        <v>1</v>
      </c>
      <c r="N98" s="993" t="s">
        <v>1955</v>
      </c>
    </row>
    <row r="99" spans="1:14" x14ac:dyDescent="0.25">
      <c r="A99" s="401">
        <v>18</v>
      </c>
      <c r="B99" s="982"/>
      <c r="C99" s="969"/>
      <c r="D99" s="988"/>
      <c r="E99" s="991"/>
      <c r="F99" s="480" t="s">
        <v>4</v>
      </c>
      <c r="G99" s="387">
        <v>0</v>
      </c>
      <c r="H99" s="387">
        <v>6475</v>
      </c>
      <c r="I99" s="528">
        <v>6475</v>
      </c>
      <c r="J99" s="528">
        <v>0</v>
      </c>
      <c r="K99" s="528">
        <v>6475</v>
      </c>
      <c r="L99" s="399">
        <f>J99/H99</f>
        <v>0</v>
      </c>
      <c r="M99" s="969"/>
      <c r="N99" s="994"/>
    </row>
    <row r="100" spans="1:14" x14ac:dyDescent="0.25">
      <c r="A100" s="478"/>
      <c r="B100" s="982"/>
      <c r="C100" s="969"/>
      <c r="D100" s="988"/>
      <c r="E100" s="991"/>
      <c r="F100" s="480" t="s">
        <v>5</v>
      </c>
      <c r="G100" s="387">
        <v>0</v>
      </c>
      <c r="H100" s="387">
        <v>0</v>
      </c>
      <c r="I100" s="528">
        <v>0</v>
      </c>
      <c r="J100" s="528">
        <v>0</v>
      </c>
      <c r="K100" s="528">
        <v>0</v>
      </c>
      <c r="L100" s="399">
        <v>0</v>
      </c>
      <c r="M100" s="969"/>
      <c r="N100" s="994"/>
    </row>
    <row r="101" spans="1:14" x14ac:dyDescent="0.25">
      <c r="A101" s="401"/>
      <c r="B101" s="982"/>
      <c r="C101" s="969"/>
      <c r="D101" s="988"/>
      <c r="E101" s="991"/>
      <c r="F101" s="480" t="s">
        <v>6</v>
      </c>
      <c r="G101" s="387">
        <v>0</v>
      </c>
      <c r="H101" s="387">
        <v>340</v>
      </c>
      <c r="I101" s="528">
        <v>340.8</v>
      </c>
      <c r="J101" s="528">
        <v>0</v>
      </c>
      <c r="K101" s="528">
        <v>340.8</v>
      </c>
      <c r="L101" s="399">
        <v>0</v>
      </c>
      <c r="M101" s="969"/>
      <c r="N101" s="994"/>
    </row>
    <row r="102" spans="1:14" x14ac:dyDescent="0.25">
      <c r="A102" s="535"/>
      <c r="B102" s="983"/>
      <c r="C102" s="970"/>
      <c r="D102" s="989"/>
      <c r="E102" s="992"/>
      <c r="F102" s="480" t="s">
        <v>7</v>
      </c>
      <c r="G102" s="387">
        <v>0</v>
      </c>
      <c r="H102" s="387">
        <v>0</v>
      </c>
      <c r="I102" s="387">
        <v>0</v>
      </c>
      <c r="J102" s="387">
        <v>0</v>
      </c>
      <c r="K102" s="387">
        <v>0</v>
      </c>
      <c r="L102" s="399">
        <v>0</v>
      </c>
      <c r="M102" s="970"/>
      <c r="N102" s="995"/>
    </row>
    <row r="103" spans="1:14" ht="21" x14ac:dyDescent="0.25">
      <c r="A103" s="400"/>
      <c r="B103" s="981" t="s">
        <v>1287</v>
      </c>
      <c r="C103" s="968" t="s">
        <v>1288</v>
      </c>
      <c r="D103" s="987" t="s">
        <v>1956</v>
      </c>
      <c r="E103" s="990">
        <v>6717.2</v>
      </c>
      <c r="F103" s="389" t="s">
        <v>3</v>
      </c>
      <c r="G103" s="397">
        <f>SUM(G104:G107)</f>
        <v>4802.3129999999992</v>
      </c>
      <c r="H103" s="397">
        <f>SUM(H104:H107)</f>
        <v>1914.8587199999999</v>
      </c>
      <c r="I103" s="397">
        <f>SUM(I104:I107)</f>
        <v>1914.8587199999999</v>
      </c>
      <c r="J103" s="397">
        <f>SUM(J104:J107)</f>
        <v>0</v>
      </c>
      <c r="K103" s="397">
        <f>SUM(K104:K107)</f>
        <v>1914.8587199999999</v>
      </c>
      <c r="L103" s="398">
        <f>K103/H103</f>
        <v>1</v>
      </c>
      <c r="M103" s="977">
        <v>1</v>
      </c>
      <c r="N103" s="993" t="s">
        <v>1955</v>
      </c>
    </row>
    <row r="104" spans="1:14" x14ac:dyDescent="0.25">
      <c r="A104" s="401"/>
      <c r="B104" s="982"/>
      <c r="C104" s="969"/>
      <c r="D104" s="988"/>
      <c r="E104" s="991"/>
      <c r="F104" s="480" t="s">
        <v>4</v>
      </c>
      <c r="G104" s="534">
        <v>4754.2898699999996</v>
      </c>
      <c r="H104" s="527">
        <v>1895.7101299999999</v>
      </c>
      <c r="I104" s="528">
        <v>1895.7101299999999</v>
      </c>
      <c r="J104" s="528">
        <v>0</v>
      </c>
      <c r="K104" s="528">
        <v>1895.7101299999999</v>
      </c>
      <c r="L104" s="399">
        <f>J104/H104</f>
        <v>0</v>
      </c>
      <c r="M104" s="969"/>
      <c r="N104" s="994"/>
    </row>
    <row r="105" spans="1:14" x14ac:dyDescent="0.25">
      <c r="A105" s="401">
        <v>19</v>
      </c>
      <c r="B105" s="982"/>
      <c r="C105" s="969"/>
      <c r="D105" s="988"/>
      <c r="E105" s="991"/>
      <c r="F105" s="480" t="s">
        <v>5</v>
      </c>
      <c r="G105" s="534">
        <v>0</v>
      </c>
      <c r="H105" s="527">
        <v>0</v>
      </c>
      <c r="I105" s="528">
        <v>0</v>
      </c>
      <c r="J105" s="528">
        <v>0</v>
      </c>
      <c r="K105" s="528">
        <v>0</v>
      </c>
      <c r="L105" s="399">
        <v>0</v>
      </c>
      <c r="M105" s="969"/>
      <c r="N105" s="994"/>
    </row>
    <row r="106" spans="1:14" x14ac:dyDescent="0.25">
      <c r="A106" s="401"/>
      <c r="B106" s="982"/>
      <c r="C106" s="969"/>
      <c r="D106" s="988"/>
      <c r="E106" s="991"/>
      <c r="F106" s="480" t="s">
        <v>6</v>
      </c>
      <c r="G106" s="534">
        <v>48.023130000000002</v>
      </c>
      <c r="H106" s="527">
        <v>19.148589999999999</v>
      </c>
      <c r="I106" s="528">
        <v>19.148589999999999</v>
      </c>
      <c r="J106" s="528">
        <v>0</v>
      </c>
      <c r="K106" s="528">
        <v>19.148589999999999</v>
      </c>
      <c r="L106" s="399">
        <v>0</v>
      </c>
      <c r="M106" s="969"/>
      <c r="N106" s="994"/>
    </row>
    <row r="107" spans="1:14" x14ac:dyDescent="0.25">
      <c r="A107" s="535"/>
      <c r="B107" s="983"/>
      <c r="C107" s="970"/>
      <c r="D107" s="989"/>
      <c r="E107" s="992"/>
      <c r="F107" s="480" t="s">
        <v>7</v>
      </c>
      <c r="G107" s="387">
        <v>0</v>
      </c>
      <c r="H107" s="387">
        <v>0</v>
      </c>
      <c r="I107" s="387">
        <v>0</v>
      </c>
      <c r="J107" s="387">
        <v>0</v>
      </c>
      <c r="K107" s="387">
        <v>0</v>
      </c>
      <c r="L107" s="399">
        <v>0</v>
      </c>
      <c r="M107" s="970"/>
      <c r="N107" s="995"/>
    </row>
    <row r="108" spans="1:14" ht="21" x14ac:dyDescent="0.25">
      <c r="A108" s="400"/>
      <c r="B108" s="981" t="s">
        <v>1957</v>
      </c>
      <c r="C108" s="968" t="s">
        <v>1958</v>
      </c>
      <c r="D108" s="971" t="s">
        <v>1959</v>
      </c>
      <c r="E108" s="974">
        <v>138492.4</v>
      </c>
      <c r="F108" s="389" t="s">
        <v>3</v>
      </c>
      <c r="G108" s="397">
        <f>SUM(G109:G112)</f>
        <v>0</v>
      </c>
      <c r="H108" s="397">
        <f>SUM(H109:H112)</f>
        <v>20659.3</v>
      </c>
      <c r="I108" s="397">
        <f>SUM(I109:I112)</f>
        <v>20659.3</v>
      </c>
      <c r="J108" s="397">
        <f>SUM(J109:J112)</f>
        <v>20659.3</v>
      </c>
      <c r="K108" s="397">
        <f>SUM(K109:K112)</f>
        <v>0</v>
      </c>
      <c r="L108" s="398">
        <f>J108/H108</f>
        <v>1</v>
      </c>
      <c r="M108" s="977">
        <v>0.15</v>
      </c>
      <c r="N108" s="984" t="s">
        <v>1960</v>
      </c>
    </row>
    <row r="109" spans="1:14" x14ac:dyDescent="0.25">
      <c r="A109" s="401"/>
      <c r="B109" s="982"/>
      <c r="C109" s="969"/>
      <c r="D109" s="972"/>
      <c r="E109" s="975"/>
      <c r="F109" s="480" t="s">
        <v>4</v>
      </c>
      <c r="G109" s="387">
        <v>0</v>
      </c>
      <c r="H109" s="532">
        <v>20452.7</v>
      </c>
      <c r="I109" s="532">
        <v>20452.7</v>
      </c>
      <c r="J109" s="532">
        <v>20452.7</v>
      </c>
      <c r="K109" s="387">
        <v>0</v>
      </c>
      <c r="L109" s="399">
        <f>J109/H109</f>
        <v>1</v>
      </c>
      <c r="M109" s="969"/>
      <c r="N109" s="985"/>
    </row>
    <row r="110" spans="1:14" x14ac:dyDescent="0.25">
      <c r="A110" s="401"/>
      <c r="B110" s="982"/>
      <c r="C110" s="969"/>
      <c r="D110" s="972"/>
      <c r="E110" s="975"/>
      <c r="F110" s="480" t="s">
        <v>5</v>
      </c>
      <c r="G110" s="387">
        <v>0</v>
      </c>
      <c r="H110" s="532">
        <v>0</v>
      </c>
      <c r="I110" s="532">
        <v>0</v>
      </c>
      <c r="J110" s="532">
        <v>0</v>
      </c>
      <c r="K110" s="387">
        <v>0</v>
      </c>
      <c r="L110" s="399">
        <v>0</v>
      </c>
      <c r="M110" s="969"/>
      <c r="N110" s="985"/>
    </row>
    <row r="111" spans="1:14" x14ac:dyDescent="0.25">
      <c r="A111" s="401">
        <v>20</v>
      </c>
      <c r="B111" s="982"/>
      <c r="C111" s="969"/>
      <c r="D111" s="972"/>
      <c r="E111" s="975"/>
      <c r="F111" s="480" t="s">
        <v>6</v>
      </c>
      <c r="G111" s="387">
        <v>0</v>
      </c>
      <c r="H111" s="532">
        <v>206.6</v>
      </c>
      <c r="I111" s="532">
        <v>206.6</v>
      </c>
      <c r="J111" s="532">
        <v>206.6</v>
      </c>
      <c r="K111" s="387">
        <v>0</v>
      </c>
      <c r="L111" s="399">
        <v>0</v>
      </c>
      <c r="M111" s="969"/>
      <c r="N111" s="985"/>
    </row>
    <row r="112" spans="1:14" x14ac:dyDescent="0.25">
      <c r="A112" s="535"/>
      <c r="B112" s="983"/>
      <c r="C112" s="970"/>
      <c r="D112" s="973"/>
      <c r="E112" s="976"/>
      <c r="F112" s="480" t="s">
        <v>7</v>
      </c>
      <c r="G112" s="387">
        <v>0</v>
      </c>
      <c r="H112" s="387">
        <v>0</v>
      </c>
      <c r="I112" s="387">
        <v>0</v>
      </c>
      <c r="J112" s="387">
        <v>0</v>
      </c>
      <c r="K112" s="387">
        <v>0</v>
      </c>
      <c r="L112" s="399">
        <v>0</v>
      </c>
      <c r="M112" s="970"/>
      <c r="N112" s="986"/>
    </row>
    <row r="113" spans="1:14" ht="21" x14ac:dyDescent="0.25">
      <c r="A113" s="400"/>
      <c r="B113" s="981" t="s">
        <v>1961</v>
      </c>
      <c r="C113" s="968" t="s">
        <v>1962</v>
      </c>
      <c r="D113" s="971" t="s">
        <v>1959</v>
      </c>
      <c r="E113" s="974">
        <v>49393.2</v>
      </c>
      <c r="F113" s="389" t="s">
        <v>3</v>
      </c>
      <c r="G113" s="397">
        <f>SUM(G114:G117)</f>
        <v>0</v>
      </c>
      <c r="H113" s="397">
        <f>SUM(H114:H116)</f>
        <v>7623.5</v>
      </c>
      <c r="I113" s="397">
        <f>SUM(I114:I116)</f>
        <v>7623.5</v>
      </c>
      <c r="J113" s="397">
        <f>SUM(J114:J117)</f>
        <v>7623.5</v>
      </c>
      <c r="K113" s="397">
        <f>SUM(K114:K117)</f>
        <v>0</v>
      </c>
      <c r="L113" s="398">
        <f>J113/H113</f>
        <v>1</v>
      </c>
      <c r="M113" s="977">
        <v>0.15</v>
      </c>
      <c r="N113" s="978" t="s">
        <v>1963</v>
      </c>
    </row>
    <row r="114" spans="1:14" x14ac:dyDescent="0.25">
      <c r="A114" s="401"/>
      <c r="B114" s="982"/>
      <c r="C114" s="969"/>
      <c r="D114" s="972"/>
      <c r="E114" s="975"/>
      <c r="F114" s="480" t="s">
        <v>4</v>
      </c>
      <c r="G114" s="387">
        <v>0</v>
      </c>
      <c r="H114" s="532">
        <v>7547.3</v>
      </c>
      <c r="I114" s="532">
        <v>7547.3</v>
      </c>
      <c r="J114" s="532">
        <v>7547.3</v>
      </c>
      <c r="K114" s="387">
        <v>0</v>
      </c>
      <c r="L114" s="399">
        <f>J114/H114</f>
        <v>1</v>
      </c>
      <c r="M114" s="969"/>
      <c r="N114" s="979"/>
    </row>
    <row r="115" spans="1:14" x14ac:dyDescent="0.25">
      <c r="A115" s="401">
        <v>21</v>
      </c>
      <c r="B115" s="982"/>
      <c r="C115" s="969"/>
      <c r="D115" s="972"/>
      <c r="E115" s="975"/>
      <c r="F115" s="480" t="s">
        <v>5</v>
      </c>
      <c r="G115" s="387">
        <v>0</v>
      </c>
      <c r="H115" s="532">
        <v>0</v>
      </c>
      <c r="I115" s="532">
        <v>0</v>
      </c>
      <c r="J115" s="532">
        <v>0</v>
      </c>
      <c r="K115" s="387">
        <v>0</v>
      </c>
      <c r="L115" s="399">
        <v>0</v>
      </c>
      <c r="M115" s="969"/>
      <c r="N115" s="979"/>
    </row>
    <row r="116" spans="1:14" x14ac:dyDescent="0.25">
      <c r="A116" s="401"/>
      <c r="B116" s="982"/>
      <c r="C116" s="969"/>
      <c r="D116" s="972"/>
      <c r="E116" s="975"/>
      <c r="F116" s="480" t="s">
        <v>6</v>
      </c>
      <c r="G116" s="387">
        <v>0</v>
      </c>
      <c r="H116" s="532">
        <v>76.2</v>
      </c>
      <c r="I116" s="532">
        <v>76.2</v>
      </c>
      <c r="J116" s="532">
        <v>76.2</v>
      </c>
      <c r="K116" s="387">
        <v>0</v>
      </c>
      <c r="L116" s="399">
        <v>0</v>
      </c>
      <c r="M116" s="969"/>
      <c r="N116" s="979"/>
    </row>
    <row r="117" spans="1:14" x14ac:dyDescent="0.25">
      <c r="A117" s="535"/>
      <c r="B117" s="983"/>
      <c r="C117" s="970"/>
      <c r="D117" s="973"/>
      <c r="E117" s="976"/>
      <c r="F117" s="480" t="s">
        <v>7</v>
      </c>
      <c r="G117" s="387">
        <v>0</v>
      </c>
      <c r="H117" s="387">
        <v>0</v>
      </c>
      <c r="I117" s="387">
        <v>0</v>
      </c>
      <c r="J117" s="387">
        <v>0</v>
      </c>
      <c r="K117" s="387">
        <v>0</v>
      </c>
      <c r="L117" s="399">
        <v>0</v>
      </c>
      <c r="M117" s="970"/>
      <c r="N117" s="980"/>
    </row>
    <row r="118" spans="1:14" ht="21" x14ac:dyDescent="0.25">
      <c r="A118" s="400"/>
      <c r="B118" s="752" t="s">
        <v>1289</v>
      </c>
      <c r="C118" s="968" t="s">
        <v>1290</v>
      </c>
      <c r="D118" s="971" t="s">
        <v>1964</v>
      </c>
      <c r="E118" s="974">
        <v>6120</v>
      </c>
      <c r="F118" s="389" t="s">
        <v>3</v>
      </c>
      <c r="G118" s="397">
        <f>SUM(G119:G122)</f>
        <v>2970</v>
      </c>
      <c r="H118" s="397">
        <f t="shared" ref="H118:J118" si="13">H119+H120+H121+H122</f>
        <v>3150</v>
      </c>
      <c r="I118" s="397">
        <f t="shared" si="13"/>
        <v>3150</v>
      </c>
      <c r="J118" s="397">
        <f t="shared" si="13"/>
        <v>0</v>
      </c>
      <c r="K118" s="397">
        <f>SUM(K119:K122)</f>
        <v>3150</v>
      </c>
      <c r="L118" s="398">
        <f>K118/H118</f>
        <v>1</v>
      </c>
      <c r="M118" s="977">
        <v>4.8000000000000001E-2</v>
      </c>
      <c r="N118" s="978" t="s">
        <v>1965</v>
      </c>
    </row>
    <row r="119" spans="1:14" x14ac:dyDescent="0.25">
      <c r="A119" s="401"/>
      <c r="B119" s="753"/>
      <c r="C119" s="969"/>
      <c r="D119" s="972"/>
      <c r="E119" s="975"/>
      <c r="F119" s="480" t="s">
        <v>4</v>
      </c>
      <c r="G119" s="532">
        <v>2821.5</v>
      </c>
      <c r="H119" s="533">
        <v>2992.5</v>
      </c>
      <c r="I119" s="533">
        <v>2992.5</v>
      </c>
      <c r="J119" s="533">
        <v>0</v>
      </c>
      <c r="K119" s="533">
        <v>2992.5</v>
      </c>
      <c r="L119" s="399">
        <f>J119/H119</f>
        <v>0</v>
      </c>
      <c r="M119" s="969"/>
      <c r="N119" s="979"/>
    </row>
    <row r="120" spans="1:14" x14ac:dyDescent="0.25">
      <c r="A120" s="401"/>
      <c r="B120" s="753"/>
      <c r="C120" s="969"/>
      <c r="D120" s="972"/>
      <c r="E120" s="975"/>
      <c r="F120" s="480" t="s">
        <v>5</v>
      </c>
      <c r="G120" s="532">
        <v>0</v>
      </c>
      <c r="H120" s="533">
        <v>0</v>
      </c>
      <c r="I120" s="533">
        <v>0</v>
      </c>
      <c r="J120" s="533">
        <v>0</v>
      </c>
      <c r="K120" s="533">
        <v>0</v>
      </c>
      <c r="L120" s="399">
        <v>0</v>
      </c>
      <c r="M120" s="969"/>
      <c r="N120" s="979"/>
    </row>
    <row r="121" spans="1:14" x14ac:dyDescent="0.25">
      <c r="A121" s="401">
        <v>22</v>
      </c>
      <c r="B121" s="753"/>
      <c r="C121" s="969"/>
      <c r="D121" s="972"/>
      <c r="E121" s="975"/>
      <c r="F121" s="480" t="s">
        <v>6</v>
      </c>
      <c r="G121" s="532">
        <v>148.5</v>
      </c>
      <c r="H121" s="533">
        <v>157.5</v>
      </c>
      <c r="I121" s="533">
        <v>157.5</v>
      </c>
      <c r="J121" s="533">
        <v>0</v>
      </c>
      <c r="K121" s="533">
        <v>157.5</v>
      </c>
      <c r="L121" s="399">
        <v>0</v>
      </c>
      <c r="M121" s="969"/>
      <c r="N121" s="979"/>
    </row>
    <row r="122" spans="1:14" x14ac:dyDescent="0.25">
      <c r="A122" s="535"/>
      <c r="B122" s="754"/>
      <c r="C122" s="970"/>
      <c r="D122" s="973"/>
      <c r="E122" s="976"/>
      <c r="F122" s="480" t="s">
        <v>7</v>
      </c>
      <c r="G122" s="387">
        <v>0</v>
      </c>
      <c r="H122" s="402">
        <v>0</v>
      </c>
      <c r="I122" s="403">
        <v>0</v>
      </c>
      <c r="J122" s="403">
        <v>0</v>
      </c>
      <c r="K122" s="387">
        <v>0</v>
      </c>
      <c r="L122" s="399">
        <v>0</v>
      </c>
      <c r="M122" s="970"/>
      <c r="N122" s="980"/>
    </row>
    <row r="123" spans="1:14" ht="21" x14ac:dyDescent="0.25">
      <c r="A123" s="787" t="s">
        <v>1045</v>
      </c>
      <c r="B123" s="920"/>
      <c r="C123" s="920"/>
      <c r="D123" s="920"/>
      <c r="E123" s="921"/>
      <c r="F123" s="561" t="s">
        <v>3</v>
      </c>
      <c r="G123" s="562">
        <f>SUM(G124:G127)</f>
        <v>1081032.8300300001</v>
      </c>
      <c r="H123" s="562">
        <f>SUM(H124:H126)</f>
        <v>935312.39999999991</v>
      </c>
      <c r="I123" s="562">
        <f>SUM(I124:I126)</f>
        <v>931241.2</v>
      </c>
      <c r="J123" s="562">
        <f>SUM(J124:J126)</f>
        <v>561258.39999999991</v>
      </c>
      <c r="K123" s="562">
        <f>SUM(K124:K126)</f>
        <v>0</v>
      </c>
      <c r="L123" s="563">
        <f>J123/H123</f>
        <v>0.60007586769939114</v>
      </c>
      <c r="M123" s="927"/>
      <c r="N123" s="960"/>
    </row>
    <row r="124" spans="1:14" x14ac:dyDescent="0.25">
      <c r="A124" s="839"/>
      <c r="B124" s="959"/>
      <c r="C124" s="959"/>
      <c r="D124" s="959"/>
      <c r="E124" s="923"/>
      <c r="F124" s="548" t="s">
        <v>181</v>
      </c>
      <c r="G124" s="559">
        <f>G130+G134+G139+G144+G154</f>
        <v>842990.85652000003</v>
      </c>
      <c r="H124" s="559">
        <f>H130+H134+H139+H144+H149+H154</f>
        <v>498013.6</v>
      </c>
      <c r="I124" s="559">
        <f>I130+I134+I139+I144+I149+I154</f>
        <v>494110.69999999995</v>
      </c>
      <c r="J124" s="559">
        <f>J130+J134+J139+J149+J154</f>
        <v>304441.09999999998</v>
      </c>
      <c r="K124" s="559">
        <f>K130</f>
        <v>0</v>
      </c>
      <c r="L124" s="560">
        <f>J124/H124</f>
        <v>0.6113108156082484</v>
      </c>
      <c r="M124" s="928"/>
      <c r="N124" s="961"/>
    </row>
    <row r="125" spans="1:14" x14ac:dyDescent="0.25">
      <c r="A125" s="839"/>
      <c r="B125" s="959"/>
      <c r="C125" s="959"/>
      <c r="D125" s="959"/>
      <c r="E125" s="923"/>
      <c r="F125" s="548" t="s">
        <v>5</v>
      </c>
      <c r="G125" s="559">
        <f>G131+G135+G140+G145+G150+G155</f>
        <v>89746.7</v>
      </c>
      <c r="H125" s="559">
        <f>H131+H135+H140+H145+H150+H155</f>
        <v>212427.8</v>
      </c>
      <c r="I125" s="559">
        <f>I131+I135+I140+I145+I150+I155</f>
        <v>212259.5</v>
      </c>
      <c r="J125" s="559">
        <f>J131+J135+J140+J145+J150+J155</f>
        <v>37376.300000000003</v>
      </c>
      <c r="K125" s="559">
        <v>0</v>
      </c>
      <c r="L125" s="560">
        <v>0</v>
      </c>
      <c r="M125" s="928"/>
      <c r="N125" s="961"/>
    </row>
    <row r="126" spans="1:14" x14ac:dyDescent="0.25">
      <c r="A126" s="839"/>
      <c r="B126" s="959"/>
      <c r="C126" s="959"/>
      <c r="D126" s="959"/>
      <c r="E126" s="923"/>
      <c r="F126" s="548" t="s">
        <v>6</v>
      </c>
      <c r="G126" s="559">
        <f>G136+G141+G156</f>
        <v>130295.27351</v>
      </c>
      <c r="H126" s="559">
        <f>H136+H141+H146+H151+H156</f>
        <v>224871</v>
      </c>
      <c r="I126" s="559">
        <f>I136+I141+I146+I151+I156</f>
        <v>224871</v>
      </c>
      <c r="J126" s="559">
        <f>J136+J141+J146+J151+J156</f>
        <v>219441</v>
      </c>
      <c r="K126" s="559">
        <v>0</v>
      </c>
      <c r="L126" s="560">
        <f>J126/H126</f>
        <v>0.97585282228477666</v>
      </c>
      <c r="M126" s="928"/>
      <c r="N126" s="961"/>
    </row>
    <row r="127" spans="1:14" x14ac:dyDescent="0.25">
      <c r="A127" s="924"/>
      <c r="B127" s="925"/>
      <c r="C127" s="925"/>
      <c r="D127" s="925"/>
      <c r="E127" s="926"/>
      <c r="F127" s="548" t="s">
        <v>7</v>
      </c>
      <c r="G127" s="559">
        <f>G137+G142+G147+G152+G157</f>
        <v>18000</v>
      </c>
      <c r="H127" s="559">
        <f>SUM(H137+H142+H147+H152+H157)</f>
        <v>0</v>
      </c>
      <c r="I127" s="559">
        <f>SUM(I137+I142+I147+I152+I157)</f>
        <v>0</v>
      </c>
      <c r="J127" s="559">
        <v>0</v>
      </c>
      <c r="K127" s="559">
        <v>0</v>
      </c>
      <c r="L127" s="560">
        <v>0</v>
      </c>
      <c r="M127" s="929"/>
      <c r="N127" s="962"/>
    </row>
    <row r="128" spans="1:14" x14ac:dyDescent="0.25">
      <c r="A128" s="955" t="s">
        <v>1291</v>
      </c>
      <c r="B128" s="963"/>
      <c r="C128" s="963"/>
      <c r="D128" s="963"/>
      <c r="E128" s="963"/>
      <c r="F128" s="963"/>
      <c r="G128" s="963"/>
      <c r="H128" s="963"/>
      <c r="I128" s="963"/>
      <c r="J128" s="963"/>
      <c r="K128" s="963"/>
      <c r="L128" s="963"/>
      <c r="M128" s="963"/>
      <c r="N128" s="964"/>
    </row>
    <row r="129" spans="1:14" ht="21" x14ac:dyDescent="0.25">
      <c r="A129" s="892">
        <v>23</v>
      </c>
      <c r="B129" s="889" t="s">
        <v>1292</v>
      </c>
      <c r="C129" s="894" t="s">
        <v>1293</v>
      </c>
      <c r="D129" s="965" t="s">
        <v>1116</v>
      </c>
      <c r="E129" s="966">
        <v>573566.6</v>
      </c>
      <c r="F129" s="119" t="s">
        <v>3</v>
      </c>
      <c r="G129" s="404">
        <f>SUM(G130:G132)</f>
        <v>503566.57</v>
      </c>
      <c r="H129" s="405">
        <f>H130</f>
        <v>70000</v>
      </c>
      <c r="I129" s="405">
        <f>I130</f>
        <v>70000</v>
      </c>
      <c r="J129" s="405">
        <f>J130</f>
        <v>0</v>
      </c>
      <c r="K129" s="377">
        <f>SUM(K130:K132)</f>
        <v>0</v>
      </c>
      <c r="L129" s="227">
        <f>J129/H129</f>
        <v>0</v>
      </c>
      <c r="M129" s="937">
        <v>0.64900000000000002</v>
      </c>
      <c r="N129" s="889" t="s">
        <v>1966</v>
      </c>
    </row>
    <row r="130" spans="1:14" x14ac:dyDescent="0.25">
      <c r="A130" s="901"/>
      <c r="B130" s="890"/>
      <c r="C130" s="894"/>
      <c r="D130" s="965"/>
      <c r="E130" s="966"/>
      <c r="F130" s="476" t="s">
        <v>4</v>
      </c>
      <c r="G130" s="405">
        <v>413819.87</v>
      </c>
      <c r="H130" s="405">
        <v>70000</v>
      </c>
      <c r="I130" s="405">
        <v>70000</v>
      </c>
      <c r="J130" s="405">
        <v>0</v>
      </c>
      <c r="K130" s="377">
        <v>0</v>
      </c>
      <c r="L130" s="113">
        <f>J130/H130</f>
        <v>0</v>
      </c>
      <c r="M130" s="967"/>
      <c r="N130" s="890"/>
    </row>
    <row r="131" spans="1:14" x14ac:dyDescent="0.25">
      <c r="A131" s="893"/>
      <c r="B131" s="891"/>
      <c r="C131" s="894"/>
      <c r="D131" s="965"/>
      <c r="E131" s="966"/>
      <c r="F131" s="476" t="s">
        <v>5</v>
      </c>
      <c r="G131" s="405">
        <v>89746.7</v>
      </c>
      <c r="H131" s="477">
        <v>0</v>
      </c>
      <c r="I131" s="377">
        <v>0</v>
      </c>
      <c r="J131" s="377">
        <v>0</v>
      </c>
      <c r="K131" s="477">
        <v>0</v>
      </c>
      <c r="L131" s="113">
        <v>0</v>
      </c>
      <c r="M131" s="938"/>
      <c r="N131" s="891"/>
    </row>
    <row r="132" spans="1:14" x14ac:dyDescent="0.25">
      <c r="A132" s="955" t="s">
        <v>1294</v>
      </c>
      <c r="B132" s="956"/>
      <c r="C132" s="956"/>
      <c r="D132" s="956"/>
      <c r="E132" s="956"/>
      <c r="F132" s="956"/>
      <c r="G132" s="956"/>
      <c r="H132" s="956"/>
      <c r="I132" s="956"/>
      <c r="J132" s="956"/>
      <c r="K132" s="956"/>
      <c r="L132" s="956"/>
      <c r="M132" s="956"/>
      <c r="N132" s="957"/>
    </row>
    <row r="133" spans="1:14" x14ac:dyDescent="0.25">
      <c r="A133" s="764">
        <v>24</v>
      </c>
      <c r="B133" s="950" t="s">
        <v>1117</v>
      </c>
      <c r="C133" s="816" t="s">
        <v>1967</v>
      </c>
      <c r="D133" s="958" t="s">
        <v>1968</v>
      </c>
      <c r="E133" s="951">
        <v>542904.19999999995</v>
      </c>
      <c r="F133" s="469" t="s">
        <v>3</v>
      </c>
      <c r="G133" s="405">
        <f t="shared" ref="G133:K133" si="14">SUM(G134:G137)</f>
        <v>264381.15295000002</v>
      </c>
      <c r="H133" s="405">
        <f t="shared" si="14"/>
        <v>108600.6</v>
      </c>
      <c r="I133" s="405">
        <f t="shared" si="14"/>
        <v>108600.6</v>
      </c>
      <c r="J133" s="405">
        <f t="shared" si="14"/>
        <v>0</v>
      </c>
      <c r="K133" s="405">
        <f t="shared" si="14"/>
        <v>0</v>
      </c>
      <c r="L133" s="536">
        <f t="shared" ref="L133:L157" si="15">IFERROR(J133/H133,0)</f>
        <v>0</v>
      </c>
      <c r="M133" s="948">
        <v>1E-3</v>
      </c>
      <c r="N133" s="815" t="s">
        <v>1969</v>
      </c>
    </row>
    <row r="134" spans="1:14" x14ac:dyDescent="0.25">
      <c r="A134" s="764"/>
      <c r="B134" s="950"/>
      <c r="C134" s="816"/>
      <c r="D134" s="764"/>
      <c r="E134" s="951"/>
      <c r="F134" s="469" t="s">
        <v>4</v>
      </c>
      <c r="G134" s="405">
        <v>251162.09594999999</v>
      </c>
      <c r="H134" s="405">
        <v>103170.6</v>
      </c>
      <c r="I134" s="405">
        <v>103170.6</v>
      </c>
      <c r="J134" s="405">
        <v>0</v>
      </c>
      <c r="K134" s="405">
        <v>0</v>
      </c>
      <c r="L134" s="536">
        <f t="shared" si="15"/>
        <v>0</v>
      </c>
      <c r="M134" s="806"/>
      <c r="N134" s="815"/>
    </row>
    <row r="135" spans="1:14" x14ac:dyDescent="0.25">
      <c r="A135" s="764"/>
      <c r="B135" s="950"/>
      <c r="C135" s="816"/>
      <c r="D135" s="764"/>
      <c r="E135" s="951"/>
      <c r="F135" s="469" t="s">
        <v>5</v>
      </c>
      <c r="G135" s="405">
        <v>0</v>
      </c>
      <c r="H135" s="405">
        <v>0</v>
      </c>
      <c r="I135" s="405">
        <v>0</v>
      </c>
      <c r="J135" s="405">
        <v>0</v>
      </c>
      <c r="K135" s="405">
        <v>0</v>
      </c>
      <c r="L135" s="536">
        <f t="shared" si="15"/>
        <v>0</v>
      </c>
      <c r="M135" s="806"/>
      <c r="N135" s="815"/>
    </row>
    <row r="136" spans="1:14" x14ac:dyDescent="0.25">
      <c r="A136" s="764"/>
      <c r="B136" s="950"/>
      <c r="C136" s="816"/>
      <c r="D136" s="764"/>
      <c r="E136" s="951"/>
      <c r="F136" s="469" t="s">
        <v>6</v>
      </c>
      <c r="G136" s="405">
        <v>13219.057000000001</v>
      </c>
      <c r="H136" s="405">
        <v>5430</v>
      </c>
      <c r="I136" s="405">
        <v>5430</v>
      </c>
      <c r="J136" s="405">
        <f>'[1]Отчет ГП Культура_Мероприятия'!F645</f>
        <v>0</v>
      </c>
      <c r="K136" s="405">
        <v>0</v>
      </c>
      <c r="L136" s="536">
        <f t="shared" si="15"/>
        <v>0</v>
      </c>
      <c r="M136" s="806"/>
      <c r="N136" s="815"/>
    </row>
    <row r="137" spans="1:14" x14ac:dyDescent="0.25">
      <c r="A137" s="764"/>
      <c r="B137" s="950"/>
      <c r="C137" s="816"/>
      <c r="D137" s="764"/>
      <c r="E137" s="951"/>
      <c r="F137" s="469" t="s">
        <v>7</v>
      </c>
      <c r="G137" s="405">
        <v>0</v>
      </c>
      <c r="H137" s="405">
        <v>0</v>
      </c>
      <c r="I137" s="405">
        <v>0</v>
      </c>
      <c r="J137" s="405">
        <v>0</v>
      </c>
      <c r="K137" s="405">
        <v>0</v>
      </c>
      <c r="L137" s="536">
        <f t="shared" si="15"/>
        <v>0</v>
      </c>
      <c r="M137" s="806"/>
      <c r="N137" s="815"/>
    </row>
    <row r="138" spans="1:14" x14ac:dyDescent="0.25">
      <c r="A138" s="764">
        <v>25</v>
      </c>
      <c r="B138" s="950" t="s">
        <v>1118</v>
      </c>
      <c r="C138" s="816" t="s">
        <v>1119</v>
      </c>
      <c r="D138" s="764" t="s">
        <v>1295</v>
      </c>
      <c r="E138" s="951">
        <v>1245886</v>
      </c>
      <c r="F138" s="469" t="s">
        <v>3</v>
      </c>
      <c r="G138" s="405">
        <f t="shared" ref="G138:K138" si="16">SUM(G139:G142)</f>
        <v>296455.90000000002</v>
      </c>
      <c r="H138" s="405">
        <f t="shared" si="16"/>
        <v>385000</v>
      </c>
      <c r="I138" s="405">
        <f t="shared" si="16"/>
        <v>385000</v>
      </c>
      <c r="J138" s="405">
        <f t="shared" si="16"/>
        <v>385000</v>
      </c>
      <c r="K138" s="405">
        <f t="shared" si="16"/>
        <v>0</v>
      </c>
      <c r="L138" s="536">
        <f t="shared" si="15"/>
        <v>1</v>
      </c>
      <c r="M138" s="948">
        <v>0.309</v>
      </c>
      <c r="N138" s="819" t="s">
        <v>1970</v>
      </c>
    </row>
    <row r="139" spans="1:14" x14ac:dyDescent="0.25">
      <c r="A139" s="764"/>
      <c r="B139" s="950"/>
      <c r="C139" s="816"/>
      <c r="D139" s="764"/>
      <c r="E139" s="951"/>
      <c r="F139" s="469" t="s">
        <v>4</v>
      </c>
      <c r="G139" s="405">
        <v>161957.88349000001</v>
      </c>
      <c r="H139" s="405">
        <v>235000</v>
      </c>
      <c r="I139" s="405">
        <v>235000</v>
      </c>
      <c r="J139" s="405">
        <v>235000</v>
      </c>
      <c r="K139" s="405">
        <v>0</v>
      </c>
      <c r="L139" s="536">
        <f t="shared" si="15"/>
        <v>1</v>
      </c>
      <c r="M139" s="806"/>
      <c r="N139" s="819"/>
    </row>
    <row r="140" spans="1:14" x14ac:dyDescent="0.25">
      <c r="A140" s="764"/>
      <c r="B140" s="950"/>
      <c r="C140" s="816"/>
      <c r="D140" s="764"/>
      <c r="E140" s="951"/>
      <c r="F140" s="469" t="s">
        <v>5</v>
      </c>
      <c r="G140" s="405">
        <v>0</v>
      </c>
      <c r="H140" s="405">
        <v>0</v>
      </c>
      <c r="I140" s="405">
        <v>0</v>
      </c>
      <c r="J140" s="405">
        <v>0</v>
      </c>
      <c r="K140" s="405">
        <v>0</v>
      </c>
      <c r="L140" s="536">
        <f t="shared" si="15"/>
        <v>0</v>
      </c>
      <c r="M140" s="806"/>
      <c r="N140" s="819"/>
    </row>
    <row r="141" spans="1:14" x14ac:dyDescent="0.25">
      <c r="A141" s="764"/>
      <c r="B141" s="950"/>
      <c r="C141" s="816"/>
      <c r="D141" s="764"/>
      <c r="E141" s="951"/>
      <c r="F141" s="469" t="s">
        <v>6</v>
      </c>
      <c r="G141" s="405">
        <v>116498.01651</v>
      </c>
      <c r="H141" s="405">
        <v>150000</v>
      </c>
      <c r="I141" s="405">
        <v>150000</v>
      </c>
      <c r="J141" s="405">
        <v>150000</v>
      </c>
      <c r="K141" s="405">
        <v>0</v>
      </c>
      <c r="L141" s="536">
        <f t="shared" si="15"/>
        <v>1</v>
      </c>
      <c r="M141" s="806"/>
      <c r="N141" s="819"/>
    </row>
    <row r="142" spans="1:14" x14ac:dyDescent="0.25">
      <c r="A142" s="764"/>
      <c r="B142" s="950"/>
      <c r="C142" s="816"/>
      <c r="D142" s="764"/>
      <c r="E142" s="951"/>
      <c r="F142" s="469" t="s">
        <v>7</v>
      </c>
      <c r="G142" s="405">
        <v>18000</v>
      </c>
      <c r="H142" s="405">
        <v>0</v>
      </c>
      <c r="I142" s="405">
        <v>0</v>
      </c>
      <c r="J142" s="405">
        <v>0</v>
      </c>
      <c r="K142" s="405">
        <v>0</v>
      </c>
      <c r="L142" s="536">
        <f t="shared" si="15"/>
        <v>0</v>
      </c>
      <c r="M142" s="806"/>
      <c r="N142" s="819"/>
    </row>
    <row r="143" spans="1:14" x14ac:dyDescent="0.25">
      <c r="A143" s="764">
        <v>26</v>
      </c>
      <c r="B143" s="952" t="s">
        <v>1971</v>
      </c>
      <c r="C143" s="942" t="s">
        <v>1120</v>
      </c>
      <c r="D143" s="768" t="s">
        <v>1972</v>
      </c>
      <c r="E143" s="945">
        <v>1324655.1000000001</v>
      </c>
      <c r="F143" s="469" t="s">
        <v>3</v>
      </c>
      <c r="G143" s="405">
        <f t="shared" ref="G143:K143" si="17">SUM(G144:G147)</f>
        <v>5066.1070799999998</v>
      </c>
      <c r="H143" s="405">
        <f t="shared" si="17"/>
        <v>20401.900000000001</v>
      </c>
      <c r="I143" s="405">
        <f t="shared" si="17"/>
        <v>16499</v>
      </c>
      <c r="J143" s="405">
        <f t="shared" si="17"/>
        <v>0</v>
      </c>
      <c r="K143" s="405">
        <f t="shared" si="17"/>
        <v>0</v>
      </c>
      <c r="L143" s="536">
        <f t="shared" si="15"/>
        <v>0</v>
      </c>
      <c r="M143" s="948">
        <v>3.0000000000000001E-3</v>
      </c>
      <c r="N143" s="949" t="s">
        <v>1973</v>
      </c>
    </row>
    <row r="144" spans="1:14" x14ac:dyDescent="0.25">
      <c r="A144" s="764"/>
      <c r="B144" s="953"/>
      <c r="C144" s="943"/>
      <c r="D144" s="807"/>
      <c r="E144" s="946"/>
      <c r="F144" s="469" t="s">
        <v>4</v>
      </c>
      <c r="G144" s="405">
        <v>5066.1070799999998</v>
      </c>
      <c r="H144" s="405">
        <v>20401.900000000001</v>
      </c>
      <c r="I144" s="405">
        <v>16499</v>
      </c>
      <c r="J144" s="405">
        <v>0</v>
      </c>
      <c r="K144" s="405">
        <v>0</v>
      </c>
      <c r="L144" s="536">
        <f t="shared" si="15"/>
        <v>0</v>
      </c>
      <c r="M144" s="806"/>
      <c r="N144" s="949"/>
    </row>
    <row r="145" spans="1:14" x14ac:dyDescent="0.25">
      <c r="A145" s="764"/>
      <c r="B145" s="953"/>
      <c r="C145" s="943"/>
      <c r="D145" s="807"/>
      <c r="E145" s="946"/>
      <c r="F145" s="469" t="s">
        <v>5</v>
      </c>
      <c r="G145" s="405">
        <v>0</v>
      </c>
      <c r="H145" s="405">
        <v>0</v>
      </c>
      <c r="I145" s="405">
        <v>0</v>
      </c>
      <c r="J145" s="405">
        <v>0</v>
      </c>
      <c r="K145" s="405">
        <v>0</v>
      </c>
      <c r="L145" s="536">
        <f t="shared" si="15"/>
        <v>0</v>
      </c>
      <c r="M145" s="806"/>
      <c r="N145" s="949"/>
    </row>
    <row r="146" spans="1:14" x14ac:dyDescent="0.25">
      <c r="A146" s="764"/>
      <c r="B146" s="953"/>
      <c r="C146" s="943"/>
      <c r="D146" s="807"/>
      <c r="E146" s="946"/>
      <c r="F146" s="469" t="s">
        <v>6</v>
      </c>
      <c r="G146" s="405">
        <v>0</v>
      </c>
      <c r="H146" s="405">
        <v>0</v>
      </c>
      <c r="I146" s="405">
        <v>0</v>
      </c>
      <c r="J146" s="405">
        <v>0</v>
      </c>
      <c r="K146" s="405">
        <v>0</v>
      </c>
      <c r="L146" s="536">
        <f t="shared" si="15"/>
        <v>0</v>
      </c>
      <c r="M146" s="806"/>
      <c r="N146" s="949"/>
    </row>
    <row r="147" spans="1:14" x14ac:dyDescent="0.25">
      <c r="A147" s="764"/>
      <c r="B147" s="954"/>
      <c r="C147" s="944"/>
      <c r="D147" s="808"/>
      <c r="E147" s="947"/>
      <c r="F147" s="469" t="s">
        <v>7</v>
      </c>
      <c r="G147" s="405">
        <v>0</v>
      </c>
      <c r="H147" s="405">
        <v>0</v>
      </c>
      <c r="I147" s="405">
        <v>0</v>
      </c>
      <c r="J147" s="405">
        <v>0</v>
      </c>
      <c r="K147" s="405">
        <v>0</v>
      </c>
      <c r="L147" s="536">
        <f t="shared" si="15"/>
        <v>0</v>
      </c>
      <c r="M147" s="806"/>
      <c r="N147" s="949"/>
    </row>
    <row r="148" spans="1:14" x14ac:dyDescent="0.25">
      <c r="A148" s="764">
        <v>27</v>
      </c>
      <c r="B148" s="950" t="str">
        <f>'[1]Отчет ГП Культура_Мероприятия'!B601</f>
        <v>Строительство здания центра культурного развития в г. Мурманске</v>
      </c>
      <c r="C148" s="816" t="s">
        <v>1974</v>
      </c>
      <c r="D148" s="764" t="s">
        <v>1975</v>
      </c>
      <c r="E148" s="951">
        <v>462764.3</v>
      </c>
      <c r="F148" s="469" t="s">
        <v>3</v>
      </c>
      <c r="G148" s="405">
        <f t="shared" ref="G148:K148" si="18">SUM(G149:G152)</f>
        <v>0</v>
      </c>
      <c r="H148" s="405">
        <f t="shared" si="18"/>
        <v>169212.1</v>
      </c>
      <c r="I148" s="405">
        <f t="shared" si="18"/>
        <v>169212.1</v>
      </c>
      <c r="J148" s="405">
        <f t="shared" si="18"/>
        <v>169212.1</v>
      </c>
      <c r="K148" s="405">
        <f t="shared" si="18"/>
        <v>0</v>
      </c>
      <c r="L148" s="536">
        <f t="shared" si="15"/>
        <v>1</v>
      </c>
      <c r="M148" s="948">
        <v>0.36599999999999999</v>
      </c>
      <c r="N148" s="805" t="s">
        <v>1976</v>
      </c>
    </row>
    <row r="149" spans="1:14" x14ac:dyDescent="0.25">
      <c r="A149" s="764"/>
      <c r="B149" s="950"/>
      <c r="C149" s="816"/>
      <c r="D149" s="764"/>
      <c r="E149" s="951"/>
      <c r="F149" s="469" t="s">
        <v>4</v>
      </c>
      <c r="G149" s="405">
        <v>0</v>
      </c>
      <c r="H149" s="405">
        <v>69441.100000000006</v>
      </c>
      <c r="I149" s="405">
        <v>69441.100000000006</v>
      </c>
      <c r="J149" s="405">
        <v>69441.100000000006</v>
      </c>
      <c r="K149" s="405">
        <v>0</v>
      </c>
      <c r="L149" s="536">
        <f t="shared" si="15"/>
        <v>1</v>
      </c>
      <c r="M149" s="806"/>
      <c r="N149" s="805"/>
    </row>
    <row r="150" spans="1:14" x14ac:dyDescent="0.25">
      <c r="A150" s="764"/>
      <c r="B150" s="950"/>
      <c r="C150" s="816"/>
      <c r="D150" s="764"/>
      <c r="E150" s="951"/>
      <c r="F150" s="469" t="s">
        <v>5</v>
      </c>
      <c r="G150" s="405">
        <v>0</v>
      </c>
      <c r="H150" s="405">
        <v>30330</v>
      </c>
      <c r="I150" s="405">
        <v>30330</v>
      </c>
      <c r="J150" s="405">
        <v>30330</v>
      </c>
      <c r="K150" s="405">
        <v>0</v>
      </c>
      <c r="L150" s="536">
        <f t="shared" si="15"/>
        <v>1</v>
      </c>
      <c r="M150" s="806"/>
      <c r="N150" s="805"/>
    </row>
    <row r="151" spans="1:14" x14ac:dyDescent="0.25">
      <c r="A151" s="764"/>
      <c r="B151" s="950"/>
      <c r="C151" s="816"/>
      <c r="D151" s="764"/>
      <c r="E151" s="951"/>
      <c r="F151" s="469" t="s">
        <v>6</v>
      </c>
      <c r="G151" s="405">
        <v>0</v>
      </c>
      <c r="H151" s="405">
        <v>69441</v>
      </c>
      <c r="I151" s="405">
        <v>69441</v>
      </c>
      <c r="J151" s="405">
        <v>69441</v>
      </c>
      <c r="K151" s="405">
        <v>0</v>
      </c>
      <c r="L151" s="536">
        <f t="shared" si="15"/>
        <v>1</v>
      </c>
      <c r="M151" s="806"/>
      <c r="N151" s="805"/>
    </row>
    <row r="152" spans="1:14" x14ac:dyDescent="0.25">
      <c r="A152" s="764"/>
      <c r="B152" s="950"/>
      <c r="C152" s="816"/>
      <c r="D152" s="764"/>
      <c r="E152" s="951"/>
      <c r="F152" s="469" t="s">
        <v>7</v>
      </c>
      <c r="G152" s="405">
        <v>0</v>
      </c>
      <c r="H152" s="405">
        <f>'[1]Отчет ГП Культура_Мероприятия'!D696</f>
        <v>0</v>
      </c>
      <c r="I152" s="405">
        <f>'[1]Отчет ГП Культура_Мероприятия'!E696</f>
        <v>0</v>
      </c>
      <c r="J152" s="405">
        <f>'[1]Отчет ГП Культура_Мероприятия'!F696</f>
        <v>0</v>
      </c>
      <c r="K152" s="405">
        <v>0</v>
      </c>
      <c r="L152" s="536">
        <f t="shared" si="15"/>
        <v>0</v>
      </c>
      <c r="M152" s="806"/>
      <c r="N152" s="805"/>
    </row>
    <row r="153" spans="1:14" x14ac:dyDescent="0.25">
      <c r="A153" s="764">
        <v>28</v>
      </c>
      <c r="B153" s="939" t="str">
        <f>'[1]Отчет ГП Культура_Мероприятия'!B581</f>
        <v>Строительство Дома культуры в сельском поселении Алакуртти</v>
      </c>
      <c r="C153" s="942" t="s">
        <v>1977</v>
      </c>
      <c r="D153" s="768" t="s">
        <v>1978</v>
      </c>
      <c r="E153" s="945">
        <v>498208.2</v>
      </c>
      <c r="F153" s="469" t="s">
        <v>3</v>
      </c>
      <c r="G153" s="405">
        <f t="shared" ref="G153:K153" si="19">SUM(G154:G157)</f>
        <v>11563.1</v>
      </c>
      <c r="H153" s="405">
        <f t="shared" si="19"/>
        <v>182097.8</v>
      </c>
      <c r="I153" s="405">
        <f t="shared" si="19"/>
        <v>181929.5</v>
      </c>
      <c r="J153" s="405">
        <f t="shared" si="19"/>
        <v>7046.3</v>
      </c>
      <c r="K153" s="405">
        <f t="shared" si="19"/>
        <v>0</v>
      </c>
      <c r="L153" s="536">
        <f t="shared" si="15"/>
        <v>3.8695140743051262E-2</v>
      </c>
      <c r="M153" s="948">
        <v>1.4E-2</v>
      </c>
      <c r="N153" s="949" t="s">
        <v>1979</v>
      </c>
    </row>
    <row r="154" spans="1:14" x14ac:dyDescent="0.25">
      <c r="A154" s="764"/>
      <c r="B154" s="940"/>
      <c r="C154" s="943"/>
      <c r="D154" s="807"/>
      <c r="E154" s="946"/>
      <c r="F154" s="469" t="s">
        <v>4</v>
      </c>
      <c r="G154" s="405">
        <v>10984.9</v>
      </c>
      <c r="H154" s="405">
        <v>0</v>
      </c>
      <c r="I154" s="405">
        <f>'[1]Отчет ГП Культура_Мероприятия'!E673</f>
        <v>0</v>
      </c>
      <c r="J154" s="405">
        <f>'[1]Отчет ГП Культура_Мероприятия'!F673</f>
        <v>0</v>
      </c>
      <c r="K154" s="405">
        <v>0</v>
      </c>
      <c r="L154" s="536">
        <f t="shared" si="15"/>
        <v>0</v>
      </c>
      <c r="M154" s="806"/>
      <c r="N154" s="949"/>
    </row>
    <row r="155" spans="1:14" x14ac:dyDescent="0.25">
      <c r="A155" s="764"/>
      <c r="B155" s="940"/>
      <c r="C155" s="943"/>
      <c r="D155" s="807"/>
      <c r="E155" s="946"/>
      <c r="F155" s="469" t="s">
        <v>5</v>
      </c>
      <c r="G155" s="405">
        <v>0</v>
      </c>
      <c r="H155" s="405">
        <v>182097.8</v>
      </c>
      <c r="I155" s="405">
        <v>181929.5</v>
      </c>
      <c r="J155" s="405">
        <v>7046.3</v>
      </c>
      <c r="K155" s="405">
        <v>0</v>
      </c>
      <c r="L155" s="536">
        <f t="shared" si="15"/>
        <v>3.8695140743051262E-2</v>
      </c>
      <c r="M155" s="806"/>
      <c r="N155" s="949"/>
    </row>
    <row r="156" spans="1:14" x14ac:dyDescent="0.25">
      <c r="A156" s="764"/>
      <c r="B156" s="940"/>
      <c r="C156" s="943"/>
      <c r="D156" s="807"/>
      <c r="E156" s="946"/>
      <c r="F156" s="469" t="s">
        <v>6</v>
      </c>
      <c r="G156" s="405">
        <v>578.20000000000005</v>
      </c>
      <c r="H156" s="405">
        <v>0</v>
      </c>
      <c r="I156" s="405">
        <f>'[1]Отчет ГП Культура_Мероприятия'!E675</f>
        <v>0</v>
      </c>
      <c r="J156" s="405">
        <f>'[1]Отчет ГП Культура_Мероприятия'!F675</f>
        <v>0</v>
      </c>
      <c r="K156" s="405">
        <v>0</v>
      </c>
      <c r="L156" s="536">
        <f t="shared" si="15"/>
        <v>0</v>
      </c>
      <c r="M156" s="806"/>
      <c r="N156" s="949"/>
    </row>
    <row r="157" spans="1:14" x14ac:dyDescent="0.25">
      <c r="A157" s="764"/>
      <c r="B157" s="941"/>
      <c r="C157" s="944"/>
      <c r="D157" s="808"/>
      <c r="E157" s="947"/>
      <c r="F157" s="469" t="s">
        <v>7</v>
      </c>
      <c r="G157" s="405">
        <v>0</v>
      </c>
      <c r="H157" s="405">
        <v>0</v>
      </c>
      <c r="I157" s="405"/>
      <c r="J157" s="405"/>
      <c r="K157" s="405">
        <v>0</v>
      </c>
      <c r="L157" s="536">
        <f t="shared" si="15"/>
        <v>0</v>
      </c>
      <c r="M157" s="806"/>
      <c r="N157" s="949"/>
    </row>
    <row r="158" spans="1:14" ht="21" x14ac:dyDescent="0.25">
      <c r="A158" s="787" t="s">
        <v>1296</v>
      </c>
      <c r="B158" s="920"/>
      <c r="C158" s="920"/>
      <c r="D158" s="920"/>
      <c r="E158" s="921"/>
      <c r="F158" s="545" t="s">
        <v>3</v>
      </c>
      <c r="G158" s="557">
        <f>SUM(G159:G162)</f>
        <v>2395108.5</v>
      </c>
      <c r="H158" s="557">
        <f>SUM(H159:H162)</f>
        <v>3278736.7956700004</v>
      </c>
      <c r="I158" s="557">
        <f>SUM(I159:I162)</f>
        <v>2195585.6956700003</v>
      </c>
      <c r="J158" s="557">
        <f>SUM(J159:J162)</f>
        <v>1725392.4956700001</v>
      </c>
      <c r="K158" s="557">
        <f>SUM(K159:K161)</f>
        <v>88363</v>
      </c>
      <c r="L158" s="558">
        <f>J158/H158</f>
        <v>0.52623696356127336</v>
      </c>
      <c r="M158" s="927"/>
      <c r="N158" s="930"/>
    </row>
    <row r="159" spans="1:14" x14ac:dyDescent="0.25">
      <c r="A159" s="839"/>
      <c r="B159" s="922"/>
      <c r="C159" s="922"/>
      <c r="D159" s="922"/>
      <c r="E159" s="923"/>
      <c r="F159" s="548" t="s">
        <v>181</v>
      </c>
      <c r="G159" s="559">
        <f>SUM(G165,G178,G183,G186,G189,G192,G198,G201,G203,G224,G167,G206,G215,G218,G221,G227,G237,)</f>
        <v>1987875.5</v>
      </c>
      <c r="H159" s="559">
        <f>SUM(H165,H167,A163,H178,H183,H186,H189,H192,H198,H201,H203,H206,H209,H212,H215,H224,H227,H230,H218,H221,H172,H233,H237,H239,H242,H245,)</f>
        <v>2198735.4956700001</v>
      </c>
      <c r="I159" s="559">
        <f>SUM(I165,I178,I201,I203,I224,I167,I183,I186,I189,I192,I198,I206,I215,I218,I227,I172,I209,I212,I233,I230,)</f>
        <v>1220075.0956700002</v>
      </c>
      <c r="J159" s="559">
        <f>SUM(J165,J178,J201,J203,J224,J167,J183,J186,J189,J192,J198,J206,J215,J218,J227,J172,J209,J212,)</f>
        <v>871414.59566999995</v>
      </c>
      <c r="K159" s="559">
        <f>SUM(K165,K203,K189,K198,K201,K167,K206,)</f>
        <v>71780.3</v>
      </c>
      <c r="L159" s="560">
        <f>J159/H159</f>
        <v>0.39632534126368935</v>
      </c>
      <c r="M159" s="928"/>
      <c r="N159" s="931"/>
    </row>
    <row r="160" spans="1:14" x14ac:dyDescent="0.25">
      <c r="A160" s="839"/>
      <c r="B160" s="922"/>
      <c r="C160" s="922"/>
      <c r="D160" s="922"/>
      <c r="E160" s="923"/>
      <c r="F160" s="548" t="s">
        <v>663</v>
      </c>
      <c r="G160" s="559">
        <f>SUM(G179,G199,G204,)</f>
        <v>108887.29999999999</v>
      </c>
      <c r="H160" s="559">
        <f>SUM(H179,H199,H204,H207,H210,H213,H216,H219,H234,)</f>
        <v>863056.6</v>
      </c>
      <c r="I160" s="559">
        <f>SUM(I179,I199,I204,I207,I210,I213,I219,I234,)</f>
        <v>759026.1</v>
      </c>
      <c r="J160" s="559">
        <f>SUM(J179,J207,J210,J213,J219,)</f>
        <v>655143.4</v>
      </c>
      <c r="K160" s="559">
        <f>SUM(K199)</f>
        <v>16582.7</v>
      </c>
      <c r="L160" s="560">
        <f>J160/H160</f>
        <v>0.75909668033359579</v>
      </c>
      <c r="M160" s="928"/>
      <c r="N160" s="931"/>
    </row>
    <row r="161" spans="1:14" x14ac:dyDescent="0.25">
      <c r="A161" s="839"/>
      <c r="B161" s="922"/>
      <c r="C161" s="922"/>
      <c r="D161" s="922"/>
      <c r="E161" s="923"/>
      <c r="F161" s="548" t="s">
        <v>6</v>
      </c>
      <c r="G161" s="559">
        <f>SUM(G180,G184,G187,G190,G193,G195,)</f>
        <v>266484.09999999998</v>
      </c>
      <c r="H161" s="559">
        <f>SUM(H180,H184,H187,H190,H193,H195,)</f>
        <v>199294.7</v>
      </c>
      <c r="I161" s="559">
        <f>SUM(I180,I184,I187,I190,I193,I195,)</f>
        <v>198834.5</v>
      </c>
      <c r="J161" s="559">
        <f>SUM(J180,J184,J187,J190,J193,J195,)</f>
        <v>198834.5</v>
      </c>
      <c r="K161" s="559">
        <f>SUM(K190,)</f>
        <v>0</v>
      </c>
      <c r="L161" s="560">
        <f>J161/H161</f>
        <v>0.99769085680652814</v>
      </c>
      <c r="M161" s="928"/>
      <c r="N161" s="931"/>
    </row>
    <row r="162" spans="1:14" x14ac:dyDescent="0.25">
      <c r="A162" s="924"/>
      <c r="B162" s="925"/>
      <c r="C162" s="925"/>
      <c r="D162" s="925"/>
      <c r="E162" s="926"/>
      <c r="F162" s="548" t="s">
        <v>7</v>
      </c>
      <c r="G162" s="559">
        <f>SUM(G225,G228,G231,)</f>
        <v>31861.599999999999</v>
      </c>
      <c r="H162" s="559">
        <f>SUM(H228,H231,H235,)</f>
        <v>17650</v>
      </c>
      <c r="I162" s="559">
        <f>SUM(I235)</f>
        <v>17650</v>
      </c>
      <c r="J162" s="559">
        <v>0</v>
      </c>
      <c r="K162" s="559">
        <v>0</v>
      </c>
      <c r="L162" s="560">
        <f>J162/H162</f>
        <v>0</v>
      </c>
      <c r="M162" s="929"/>
      <c r="N162" s="932"/>
    </row>
    <row r="163" spans="1:14" x14ac:dyDescent="0.25">
      <c r="A163" s="802" t="s">
        <v>1046</v>
      </c>
      <c r="B163" s="933"/>
      <c r="C163" s="933"/>
      <c r="D163" s="933"/>
      <c r="E163" s="933"/>
      <c r="F163" s="933"/>
      <c r="G163" s="933"/>
      <c r="H163" s="933"/>
      <c r="I163" s="933"/>
      <c r="J163" s="933"/>
      <c r="K163" s="933"/>
      <c r="L163" s="933"/>
      <c r="M163" s="933"/>
      <c r="N163" s="934"/>
    </row>
    <row r="164" spans="1:14" ht="21" x14ac:dyDescent="0.25">
      <c r="A164" s="892">
        <v>29</v>
      </c>
      <c r="B164" s="935" t="s">
        <v>1297</v>
      </c>
      <c r="C164" s="892" t="s">
        <v>239</v>
      </c>
      <c r="D164" s="892" t="s">
        <v>1298</v>
      </c>
      <c r="E164" s="913" t="s">
        <v>1299</v>
      </c>
      <c r="F164" s="119" t="s">
        <v>3</v>
      </c>
      <c r="G164" s="406">
        <f>G165</f>
        <v>14131.5</v>
      </c>
      <c r="H164" s="406">
        <f>H165</f>
        <v>6436.4</v>
      </c>
      <c r="I164" s="406">
        <f>I165</f>
        <v>0</v>
      </c>
      <c r="J164" s="406">
        <v>0</v>
      </c>
      <c r="K164" s="406">
        <f>K165</f>
        <v>0</v>
      </c>
      <c r="L164" s="407">
        <f>J164/H164</f>
        <v>0</v>
      </c>
      <c r="M164" s="937">
        <v>0.06</v>
      </c>
      <c r="N164" s="889" t="s">
        <v>1980</v>
      </c>
    </row>
    <row r="165" spans="1:14" x14ac:dyDescent="0.25">
      <c r="A165" s="893"/>
      <c r="B165" s="936"/>
      <c r="C165" s="893"/>
      <c r="D165" s="893"/>
      <c r="E165" s="915"/>
      <c r="F165" s="476" t="s">
        <v>181</v>
      </c>
      <c r="G165" s="44">
        <v>14131.5</v>
      </c>
      <c r="H165" s="44">
        <v>6436.4</v>
      </c>
      <c r="I165" s="44">
        <v>0</v>
      </c>
      <c r="J165" s="44">
        <v>0</v>
      </c>
      <c r="K165" s="44">
        <v>0</v>
      </c>
      <c r="L165" s="408">
        <f>J165/H165</f>
        <v>0</v>
      </c>
      <c r="M165" s="938"/>
      <c r="N165" s="891"/>
    </row>
    <row r="166" spans="1:14" x14ac:dyDescent="0.25">
      <c r="A166" s="849">
        <v>30</v>
      </c>
      <c r="B166" s="881" t="s">
        <v>1300</v>
      </c>
      <c r="C166" s="849" t="s">
        <v>1301</v>
      </c>
      <c r="D166" s="849" t="s">
        <v>1302</v>
      </c>
      <c r="E166" s="917">
        <v>367600.57</v>
      </c>
      <c r="F166" s="409" t="s">
        <v>3</v>
      </c>
      <c r="G166" s="410">
        <f>SUM(G167:G170)</f>
        <v>188539.6</v>
      </c>
      <c r="H166" s="410">
        <f>SUM(H167:H170)</f>
        <v>439589.4</v>
      </c>
      <c r="I166" s="410">
        <f>SUM(I167:I170)</f>
        <v>105848.1</v>
      </c>
      <c r="J166" s="410">
        <f>SUM(J167:J170)</f>
        <v>39067.699999999997</v>
      </c>
      <c r="K166" s="410">
        <f>SUM(K167:K170)</f>
        <v>66780.400000000009</v>
      </c>
      <c r="L166" s="553">
        <f>J166/H166</f>
        <v>8.8873162091715571E-2</v>
      </c>
      <c r="M166" s="833">
        <v>0.47</v>
      </c>
      <c r="N166" s="820" t="s">
        <v>1981</v>
      </c>
    </row>
    <row r="167" spans="1:14" x14ac:dyDescent="0.25">
      <c r="A167" s="850"/>
      <c r="B167" s="885"/>
      <c r="C167" s="850"/>
      <c r="D167" s="850"/>
      <c r="E167" s="918"/>
      <c r="F167" s="203" t="s">
        <v>181</v>
      </c>
      <c r="G167" s="44">
        <v>188539.6</v>
      </c>
      <c r="H167" s="44">
        <v>439589.4</v>
      </c>
      <c r="I167" s="44">
        <v>105848.1</v>
      </c>
      <c r="J167" s="44">
        <v>39067.699999999997</v>
      </c>
      <c r="K167" s="44">
        <f>I167-J167</f>
        <v>66780.400000000009</v>
      </c>
      <c r="L167" s="554">
        <f>J167/H167</f>
        <v>8.8873162091715571E-2</v>
      </c>
      <c r="M167" s="834"/>
      <c r="N167" s="821"/>
    </row>
    <row r="168" spans="1:14" x14ac:dyDescent="0.25">
      <c r="A168" s="850"/>
      <c r="B168" s="885"/>
      <c r="C168" s="850"/>
      <c r="D168" s="850"/>
      <c r="E168" s="918"/>
      <c r="F168" s="203" t="s">
        <v>663</v>
      </c>
      <c r="G168" s="44">
        <v>0</v>
      </c>
      <c r="H168" s="44">
        <v>0</v>
      </c>
      <c r="I168" s="44">
        <v>0</v>
      </c>
      <c r="J168" s="44">
        <v>0</v>
      </c>
      <c r="K168" s="44">
        <v>0</v>
      </c>
      <c r="L168" s="554">
        <v>0</v>
      </c>
      <c r="M168" s="834"/>
      <c r="N168" s="821"/>
    </row>
    <row r="169" spans="1:14" x14ac:dyDescent="0.25">
      <c r="A169" s="850"/>
      <c r="B169" s="885"/>
      <c r="C169" s="850"/>
      <c r="D169" s="850"/>
      <c r="E169" s="918"/>
      <c r="F169" s="203" t="s">
        <v>6</v>
      </c>
      <c r="G169" s="44">
        <v>0</v>
      </c>
      <c r="H169" s="44">
        <v>0</v>
      </c>
      <c r="I169" s="44">
        <v>0</v>
      </c>
      <c r="J169" s="44">
        <v>0</v>
      </c>
      <c r="K169" s="44">
        <v>0</v>
      </c>
      <c r="L169" s="554">
        <v>0</v>
      </c>
      <c r="M169" s="834"/>
      <c r="N169" s="821"/>
    </row>
    <row r="170" spans="1:14" x14ac:dyDescent="0.25">
      <c r="A170" s="862"/>
      <c r="B170" s="882"/>
      <c r="C170" s="862"/>
      <c r="D170" s="862"/>
      <c r="E170" s="919"/>
      <c r="F170" s="203" t="s">
        <v>7</v>
      </c>
      <c r="G170" s="44">
        <v>0</v>
      </c>
      <c r="H170" s="44">
        <v>0</v>
      </c>
      <c r="I170" s="44">
        <v>0</v>
      </c>
      <c r="J170" s="44">
        <v>0</v>
      </c>
      <c r="K170" s="44">
        <v>0</v>
      </c>
      <c r="L170" s="554">
        <v>0</v>
      </c>
      <c r="M170" s="858"/>
      <c r="N170" s="822"/>
    </row>
    <row r="171" spans="1:14" x14ac:dyDescent="0.25">
      <c r="A171" s="849">
        <v>31</v>
      </c>
      <c r="B171" s="881" t="s">
        <v>1982</v>
      </c>
      <c r="C171" s="849" t="s">
        <v>1301</v>
      </c>
      <c r="D171" s="849" t="s">
        <v>1983</v>
      </c>
      <c r="E171" s="870">
        <v>1122857.8999999999</v>
      </c>
      <c r="F171" s="409" t="s">
        <v>3</v>
      </c>
      <c r="G171" s="410">
        <f>SUM(G172:G175)</f>
        <v>0</v>
      </c>
      <c r="H171" s="410">
        <f>SUM(H172:H175)</f>
        <v>197638.2</v>
      </c>
      <c r="I171" s="410">
        <f>SUM(I172:I175)</f>
        <v>10902.8</v>
      </c>
      <c r="J171" s="410">
        <f>SUM(J172:J175)</f>
        <v>10902.8</v>
      </c>
      <c r="K171" s="410">
        <f>SUM(K172:K175)</f>
        <v>0</v>
      </c>
      <c r="L171" s="553">
        <f>J171/H171</f>
        <v>5.5165448784698499E-2</v>
      </c>
      <c r="M171" s="833">
        <v>0.01</v>
      </c>
      <c r="N171" s="820" t="s">
        <v>1984</v>
      </c>
    </row>
    <row r="172" spans="1:14" x14ac:dyDescent="0.25">
      <c r="A172" s="850"/>
      <c r="B172" s="885"/>
      <c r="C172" s="850"/>
      <c r="D172" s="850"/>
      <c r="E172" s="877"/>
      <c r="F172" s="203" t="s">
        <v>181</v>
      </c>
      <c r="G172" s="44">
        <v>0</v>
      </c>
      <c r="H172" s="44">
        <v>197638.2</v>
      </c>
      <c r="I172" s="44">
        <v>10902.8</v>
      </c>
      <c r="J172" s="44">
        <v>10902.8</v>
      </c>
      <c r="K172" s="44">
        <f>I172-J172</f>
        <v>0</v>
      </c>
      <c r="L172" s="554">
        <f>J172/H172</f>
        <v>5.5165448784698499E-2</v>
      </c>
      <c r="M172" s="834"/>
      <c r="N172" s="821"/>
    </row>
    <row r="173" spans="1:14" x14ac:dyDescent="0.25">
      <c r="A173" s="850"/>
      <c r="B173" s="885"/>
      <c r="C173" s="850"/>
      <c r="D173" s="850"/>
      <c r="E173" s="877"/>
      <c r="F173" s="203" t="s">
        <v>663</v>
      </c>
      <c r="G173" s="44">
        <v>0</v>
      </c>
      <c r="H173" s="44">
        <v>0</v>
      </c>
      <c r="I173" s="44">
        <v>0</v>
      </c>
      <c r="J173" s="44">
        <v>0</v>
      </c>
      <c r="K173" s="44">
        <v>0</v>
      </c>
      <c r="L173" s="554">
        <v>0</v>
      </c>
      <c r="M173" s="834"/>
      <c r="N173" s="821"/>
    </row>
    <row r="174" spans="1:14" x14ac:dyDescent="0.25">
      <c r="A174" s="850"/>
      <c r="B174" s="885"/>
      <c r="C174" s="850"/>
      <c r="D174" s="850"/>
      <c r="E174" s="877"/>
      <c r="F174" s="203" t="s">
        <v>6</v>
      </c>
      <c r="G174" s="44">
        <v>0</v>
      </c>
      <c r="H174" s="44">
        <v>0</v>
      </c>
      <c r="I174" s="44">
        <v>0</v>
      </c>
      <c r="J174" s="44">
        <v>0</v>
      </c>
      <c r="K174" s="44">
        <v>0</v>
      </c>
      <c r="L174" s="554">
        <v>0</v>
      </c>
      <c r="M174" s="834"/>
      <c r="N174" s="821"/>
    </row>
    <row r="175" spans="1:14" x14ac:dyDescent="0.25">
      <c r="A175" s="862"/>
      <c r="B175" s="882"/>
      <c r="C175" s="862"/>
      <c r="D175" s="862"/>
      <c r="E175" s="871"/>
      <c r="F175" s="203" t="s">
        <v>7</v>
      </c>
      <c r="G175" s="44">
        <v>0</v>
      </c>
      <c r="H175" s="44">
        <v>0</v>
      </c>
      <c r="I175" s="44">
        <v>0</v>
      </c>
      <c r="J175" s="44">
        <v>0</v>
      </c>
      <c r="K175" s="44">
        <v>0</v>
      </c>
      <c r="L175" s="554">
        <v>0</v>
      </c>
      <c r="M175" s="858"/>
      <c r="N175" s="822"/>
    </row>
    <row r="176" spans="1:14" x14ac:dyDescent="0.25">
      <c r="A176" s="912" t="s">
        <v>1303</v>
      </c>
      <c r="B176" s="912"/>
      <c r="C176" s="912"/>
      <c r="D176" s="912"/>
      <c r="E176" s="912"/>
      <c r="F176" s="912"/>
      <c r="G176" s="912"/>
      <c r="H176" s="912"/>
      <c r="I176" s="912"/>
      <c r="J176" s="912"/>
      <c r="K176" s="912"/>
      <c r="L176" s="912"/>
      <c r="M176" s="912"/>
      <c r="N176" s="912"/>
    </row>
    <row r="177" spans="1:14" ht="21" x14ac:dyDescent="0.25">
      <c r="A177" s="892">
        <v>32</v>
      </c>
      <c r="B177" s="905" t="s">
        <v>1985</v>
      </c>
      <c r="C177" s="892" t="s">
        <v>1986</v>
      </c>
      <c r="D177" s="892" t="s">
        <v>1987</v>
      </c>
      <c r="E177" s="913">
        <v>297620.8</v>
      </c>
      <c r="F177" s="119" t="s">
        <v>3</v>
      </c>
      <c r="G177" s="477">
        <f t="shared" ref="G177:K177" si="20">SUM(G178:G180)</f>
        <v>0</v>
      </c>
      <c r="H177" s="477">
        <f t="shared" si="20"/>
        <v>174955.5</v>
      </c>
      <c r="I177" s="477">
        <f t="shared" si="20"/>
        <v>174955.5</v>
      </c>
      <c r="J177" s="477">
        <f t="shared" si="20"/>
        <v>174955.5</v>
      </c>
      <c r="K177" s="477">
        <f t="shared" si="20"/>
        <v>0</v>
      </c>
      <c r="L177" s="554">
        <f t="shared" ref="L177:L180" si="21">J177/H177</f>
        <v>1</v>
      </c>
      <c r="M177" s="916">
        <v>0.59</v>
      </c>
      <c r="N177" s="899" t="s">
        <v>1988</v>
      </c>
    </row>
    <row r="178" spans="1:14" x14ac:dyDescent="0.25">
      <c r="A178" s="901"/>
      <c r="B178" s="905"/>
      <c r="C178" s="901"/>
      <c r="D178" s="901"/>
      <c r="E178" s="914"/>
      <c r="F178" s="476" t="s">
        <v>4</v>
      </c>
      <c r="G178" s="477">
        <v>0</v>
      </c>
      <c r="H178" s="477">
        <v>76389</v>
      </c>
      <c r="I178" s="477">
        <v>76389</v>
      </c>
      <c r="J178" s="477">
        <v>76389</v>
      </c>
      <c r="K178" s="477">
        <v>0</v>
      </c>
      <c r="L178" s="554">
        <f t="shared" si="21"/>
        <v>1</v>
      </c>
      <c r="M178" s="916"/>
      <c r="N178" s="904"/>
    </row>
    <row r="179" spans="1:14" x14ac:dyDescent="0.25">
      <c r="A179" s="901"/>
      <c r="B179" s="905"/>
      <c r="C179" s="901"/>
      <c r="D179" s="901"/>
      <c r="E179" s="914"/>
      <c r="F179" s="476" t="s">
        <v>5</v>
      </c>
      <c r="G179" s="477">
        <v>0</v>
      </c>
      <c r="H179" s="477">
        <v>83907.8</v>
      </c>
      <c r="I179" s="477">
        <v>83907.8</v>
      </c>
      <c r="J179" s="477">
        <v>83907.8</v>
      </c>
      <c r="K179" s="477">
        <v>0</v>
      </c>
      <c r="L179" s="554">
        <f t="shared" si="21"/>
        <v>1</v>
      </c>
      <c r="M179" s="916"/>
      <c r="N179" s="904"/>
    </row>
    <row r="180" spans="1:14" x14ac:dyDescent="0.25">
      <c r="A180" s="893"/>
      <c r="B180" s="905"/>
      <c r="C180" s="893"/>
      <c r="D180" s="893"/>
      <c r="E180" s="915"/>
      <c r="F180" s="476" t="s">
        <v>6</v>
      </c>
      <c r="G180" s="44">
        <v>0</v>
      </c>
      <c r="H180" s="477">
        <v>14658.7</v>
      </c>
      <c r="I180" s="477">
        <v>14658.7</v>
      </c>
      <c r="J180" s="477">
        <v>14658.7</v>
      </c>
      <c r="K180" s="44">
        <v>0</v>
      </c>
      <c r="L180" s="554">
        <f t="shared" si="21"/>
        <v>1</v>
      </c>
      <c r="M180" s="916"/>
      <c r="N180" s="900"/>
    </row>
    <row r="181" spans="1:14" x14ac:dyDescent="0.25">
      <c r="A181" s="802" t="s">
        <v>1047</v>
      </c>
      <c r="B181" s="803"/>
      <c r="C181" s="803"/>
      <c r="D181" s="803"/>
      <c r="E181" s="803"/>
      <c r="F181" s="803"/>
      <c r="G181" s="803"/>
      <c r="H181" s="803"/>
      <c r="I181" s="803"/>
      <c r="J181" s="803"/>
      <c r="K181" s="803"/>
      <c r="L181" s="803"/>
      <c r="M181" s="803"/>
      <c r="N181" s="804"/>
    </row>
    <row r="182" spans="1:14" ht="21" x14ac:dyDescent="0.25">
      <c r="A182" s="892">
        <v>33</v>
      </c>
      <c r="B182" s="899" t="s">
        <v>1304</v>
      </c>
      <c r="C182" s="892" t="s">
        <v>1048</v>
      </c>
      <c r="D182" s="895" t="s">
        <v>1305</v>
      </c>
      <c r="E182" s="897" t="s">
        <v>1989</v>
      </c>
      <c r="F182" s="119" t="s">
        <v>3</v>
      </c>
      <c r="G182" s="44">
        <f t="shared" ref="G182:K182" si="22">G183+G184</f>
        <v>152745.5</v>
      </c>
      <c r="H182" s="44">
        <f t="shared" si="22"/>
        <v>37867.5</v>
      </c>
      <c r="I182" s="44">
        <f t="shared" si="22"/>
        <v>37867.5</v>
      </c>
      <c r="J182" s="44">
        <f t="shared" si="22"/>
        <v>37867.5</v>
      </c>
      <c r="K182" s="44">
        <f t="shared" si="22"/>
        <v>0</v>
      </c>
      <c r="L182" s="555">
        <f t="shared" ref="L182:L184" si="23">J182/H182</f>
        <v>1</v>
      </c>
      <c r="M182" s="872">
        <v>0.43</v>
      </c>
      <c r="N182" s="909" t="s">
        <v>1990</v>
      </c>
    </row>
    <row r="183" spans="1:14" x14ac:dyDescent="0.25">
      <c r="A183" s="901"/>
      <c r="B183" s="904"/>
      <c r="C183" s="901"/>
      <c r="D183" s="902"/>
      <c r="E183" s="903"/>
      <c r="F183" s="476" t="s">
        <v>4</v>
      </c>
      <c r="G183" s="44">
        <v>145108.20000000001</v>
      </c>
      <c r="H183" s="44">
        <v>35974.1</v>
      </c>
      <c r="I183" s="44">
        <v>35974.1</v>
      </c>
      <c r="J183" s="44">
        <v>35974.1</v>
      </c>
      <c r="K183" s="44">
        <v>0</v>
      </c>
      <c r="L183" s="555">
        <f t="shared" si="23"/>
        <v>1</v>
      </c>
      <c r="M183" s="873"/>
      <c r="N183" s="910"/>
    </row>
    <row r="184" spans="1:14" x14ac:dyDescent="0.25">
      <c r="A184" s="893"/>
      <c r="B184" s="900"/>
      <c r="C184" s="893"/>
      <c r="D184" s="896"/>
      <c r="E184" s="898"/>
      <c r="F184" s="476" t="s">
        <v>664</v>
      </c>
      <c r="G184" s="44">
        <v>7637.3</v>
      </c>
      <c r="H184" s="44">
        <v>1893.4</v>
      </c>
      <c r="I184" s="44">
        <v>1893.4</v>
      </c>
      <c r="J184" s="44">
        <v>1893.4</v>
      </c>
      <c r="K184" s="44">
        <v>0</v>
      </c>
      <c r="L184" s="555">
        <f t="shared" si="23"/>
        <v>1</v>
      </c>
      <c r="M184" s="874"/>
      <c r="N184" s="911"/>
    </row>
    <row r="185" spans="1:14" ht="21" x14ac:dyDescent="0.25">
      <c r="A185" s="892">
        <v>34</v>
      </c>
      <c r="B185" s="905" t="s">
        <v>1306</v>
      </c>
      <c r="C185" s="894" t="s">
        <v>1049</v>
      </c>
      <c r="D185" s="895" t="s">
        <v>1991</v>
      </c>
      <c r="E185" s="897" t="s">
        <v>1992</v>
      </c>
      <c r="F185" s="119" t="s">
        <v>3</v>
      </c>
      <c r="G185" s="44">
        <f t="shared" ref="G185" si="24">G186+G187</f>
        <v>104343.90000000001</v>
      </c>
      <c r="H185" s="44">
        <f>H186+H187</f>
        <v>15140</v>
      </c>
      <c r="I185" s="44">
        <f t="shared" ref="I185:J185" si="25">I186+I187</f>
        <v>5935.6</v>
      </c>
      <c r="J185" s="44">
        <f t="shared" si="25"/>
        <v>5935.6</v>
      </c>
      <c r="K185" s="44">
        <f>K186+K187</f>
        <v>0</v>
      </c>
      <c r="L185" s="556">
        <f>J185/H185</f>
        <v>0.39204755614266845</v>
      </c>
      <c r="M185" s="872">
        <v>0.32</v>
      </c>
      <c r="N185" s="899" t="s">
        <v>1993</v>
      </c>
    </row>
    <row r="186" spans="1:14" x14ac:dyDescent="0.25">
      <c r="A186" s="901"/>
      <c r="B186" s="905"/>
      <c r="C186" s="894"/>
      <c r="D186" s="902"/>
      <c r="E186" s="903"/>
      <c r="F186" s="476" t="s">
        <v>4</v>
      </c>
      <c r="G186" s="44">
        <v>99038.1</v>
      </c>
      <c r="H186" s="44">
        <v>14383</v>
      </c>
      <c r="I186" s="44">
        <v>5638.8</v>
      </c>
      <c r="J186" s="44">
        <v>5638.8</v>
      </c>
      <c r="K186" s="44">
        <v>0</v>
      </c>
      <c r="L186" s="556">
        <v>0</v>
      </c>
      <c r="M186" s="873"/>
      <c r="N186" s="904"/>
    </row>
    <row r="187" spans="1:14" x14ac:dyDescent="0.25">
      <c r="A187" s="893"/>
      <c r="B187" s="905"/>
      <c r="C187" s="894"/>
      <c r="D187" s="896"/>
      <c r="E187" s="898"/>
      <c r="F187" s="476" t="s">
        <v>6</v>
      </c>
      <c r="G187" s="44">
        <v>5305.8</v>
      </c>
      <c r="H187" s="44">
        <v>757</v>
      </c>
      <c r="I187" s="44">
        <v>296.8</v>
      </c>
      <c r="J187" s="44">
        <v>296.8</v>
      </c>
      <c r="K187" s="44">
        <v>0</v>
      </c>
      <c r="L187" s="556">
        <v>0</v>
      </c>
      <c r="M187" s="874"/>
      <c r="N187" s="900"/>
    </row>
    <row r="188" spans="1:14" ht="21" x14ac:dyDescent="0.25">
      <c r="A188" s="892">
        <v>35</v>
      </c>
      <c r="B188" s="905" t="s">
        <v>1307</v>
      </c>
      <c r="C188" s="894" t="s">
        <v>1308</v>
      </c>
      <c r="D188" s="895" t="s">
        <v>1994</v>
      </c>
      <c r="E188" s="897">
        <v>214009.26</v>
      </c>
      <c r="F188" s="119" t="s">
        <v>3</v>
      </c>
      <c r="G188" s="44">
        <f>G189+G190</f>
        <v>103149.09999999999</v>
      </c>
      <c r="H188" s="44">
        <f t="shared" ref="H188:K188" si="26">H189+H190</f>
        <v>57447.8</v>
      </c>
      <c r="I188" s="44">
        <f t="shared" si="26"/>
        <v>57447.8</v>
      </c>
      <c r="J188" s="44">
        <f t="shared" si="26"/>
        <v>57447.8</v>
      </c>
      <c r="K188" s="44">
        <f t="shared" si="26"/>
        <v>0</v>
      </c>
      <c r="L188" s="555">
        <f>J188/H188</f>
        <v>1</v>
      </c>
      <c r="M188" s="872">
        <v>0.75</v>
      </c>
      <c r="N188" s="906" t="s">
        <v>1995</v>
      </c>
    </row>
    <row r="189" spans="1:14" x14ac:dyDescent="0.25">
      <c r="A189" s="901"/>
      <c r="B189" s="905"/>
      <c r="C189" s="894"/>
      <c r="D189" s="902"/>
      <c r="E189" s="903"/>
      <c r="F189" s="476" t="s">
        <v>4</v>
      </c>
      <c r="G189" s="44">
        <v>97991.7</v>
      </c>
      <c r="H189" s="44">
        <v>54575.4</v>
      </c>
      <c r="I189" s="44">
        <v>54575.4</v>
      </c>
      <c r="J189" s="44">
        <v>54575.4</v>
      </c>
      <c r="K189" s="44">
        <v>0</v>
      </c>
      <c r="L189" s="556">
        <v>0</v>
      </c>
      <c r="M189" s="873"/>
      <c r="N189" s="907"/>
    </row>
    <row r="190" spans="1:14" x14ac:dyDescent="0.25">
      <c r="A190" s="893"/>
      <c r="B190" s="905"/>
      <c r="C190" s="894"/>
      <c r="D190" s="896"/>
      <c r="E190" s="898"/>
      <c r="F190" s="476" t="s">
        <v>6</v>
      </c>
      <c r="G190" s="44">
        <v>5157.3999999999996</v>
      </c>
      <c r="H190" s="44">
        <v>2872.4</v>
      </c>
      <c r="I190" s="44">
        <v>2872.4</v>
      </c>
      <c r="J190" s="44">
        <v>2872.4</v>
      </c>
      <c r="K190" s="44">
        <v>0</v>
      </c>
      <c r="L190" s="556">
        <v>0</v>
      </c>
      <c r="M190" s="874"/>
      <c r="N190" s="908"/>
    </row>
    <row r="191" spans="1:14" ht="21" x14ac:dyDescent="0.25">
      <c r="A191" s="892">
        <v>36</v>
      </c>
      <c r="B191" s="889" t="s">
        <v>1309</v>
      </c>
      <c r="C191" s="892" t="s">
        <v>1310</v>
      </c>
      <c r="D191" s="895" t="s">
        <v>1996</v>
      </c>
      <c r="E191" s="897" t="s">
        <v>1997</v>
      </c>
      <c r="F191" s="119" t="s">
        <v>3</v>
      </c>
      <c r="G191" s="44">
        <f t="shared" ref="G191" si="27">G192+G193</f>
        <v>107290</v>
      </c>
      <c r="H191" s="44">
        <f>H192+H193</f>
        <v>17299.400000000001</v>
      </c>
      <c r="I191" s="44">
        <f>I192+I193</f>
        <v>17299.400000000001</v>
      </c>
      <c r="J191" s="44">
        <f>J192+J193</f>
        <v>17299.400000000001</v>
      </c>
      <c r="K191" s="44">
        <f>K192+K193</f>
        <v>0</v>
      </c>
      <c r="L191" s="556">
        <v>1</v>
      </c>
      <c r="M191" s="872">
        <v>0.31</v>
      </c>
      <c r="N191" s="889" t="s">
        <v>1998</v>
      </c>
    </row>
    <row r="192" spans="1:14" x14ac:dyDescent="0.25">
      <c r="A192" s="901"/>
      <c r="B192" s="890"/>
      <c r="C192" s="901"/>
      <c r="D192" s="902"/>
      <c r="E192" s="903"/>
      <c r="F192" s="476" t="s">
        <v>4</v>
      </c>
      <c r="G192" s="44">
        <v>101925.5</v>
      </c>
      <c r="H192" s="44">
        <v>16434.400000000001</v>
      </c>
      <c r="I192" s="44">
        <v>16434.400000000001</v>
      </c>
      <c r="J192" s="44">
        <v>16434.400000000001</v>
      </c>
      <c r="K192" s="44">
        <v>0</v>
      </c>
      <c r="L192" s="556">
        <v>0</v>
      </c>
      <c r="M192" s="873"/>
      <c r="N192" s="890"/>
    </row>
    <row r="193" spans="1:14" x14ac:dyDescent="0.25">
      <c r="A193" s="893"/>
      <c r="B193" s="891"/>
      <c r="C193" s="893"/>
      <c r="D193" s="896"/>
      <c r="E193" s="898"/>
      <c r="F193" s="476" t="s">
        <v>6</v>
      </c>
      <c r="G193" s="44">
        <v>5364.5</v>
      </c>
      <c r="H193" s="44">
        <v>865</v>
      </c>
      <c r="I193" s="44">
        <v>865</v>
      </c>
      <c r="J193" s="44">
        <v>865</v>
      </c>
      <c r="K193" s="44">
        <v>0</v>
      </c>
      <c r="L193" s="556">
        <v>0</v>
      </c>
      <c r="M193" s="874"/>
      <c r="N193" s="891"/>
    </row>
    <row r="194" spans="1:14" ht="21" x14ac:dyDescent="0.25">
      <c r="A194" s="892">
        <v>37</v>
      </c>
      <c r="B194" s="889" t="s">
        <v>1311</v>
      </c>
      <c r="C194" s="894" t="s">
        <v>1312</v>
      </c>
      <c r="D194" s="895" t="s">
        <v>1999</v>
      </c>
      <c r="E194" s="897">
        <v>493541.22</v>
      </c>
      <c r="F194" s="119" t="s">
        <v>3</v>
      </c>
      <c r="G194" s="410">
        <f>G195</f>
        <v>243019.1</v>
      </c>
      <c r="H194" s="410">
        <f>H195</f>
        <v>178248.2</v>
      </c>
      <c r="I194" s="410">
        <f>I195</f>
        <v>178248.2</v>
      </c>
      <c r="J194" s="410">
        <f>J195</f>
        <v>178248.2</v>
      </c>
      <c r="K194" s="410">
        <f>K195</f>
        <v>0</v>
      </c>
      <c r="L194" s="555">
        <f>J194/H194</f>
        <v>1</v>
      </c>
      <c r="M194" s="872">
        <v>0.85</v>
      </c>
      <c r="N194" s="899" t="s">
        <v>2000</v>
      </c>
    </row>
    <row r="195" spans="1:14" x14ac:dyDescent="0.25">
      <c r="A195" s="893"/>
      <c r="B195" s="891"/>
      <c r="C195" s="894"/>
      <c r="D195" s="896"/>
      <c r="E195" s="898"/>
      <c r="F195" s="476" t="s">
        <v>6</v>
      </c>
      <c r="G195" s="44">
        <v>243019.1</v>
      </c>
      <c r="H195" s="44">
        <v>178248.2</v>
      </c>
      <c r="I195" s="44">
        <v>178248.2</v>
      </c>
      <c r="J195" s="44">
        <v>178248.2</v>
      </c>
      <c r="K195" s="44">
        <v>0</v>
      </c>
      <c r="L195" s="556">
        <f>J195/H195</f>
        <v>1</v>
      </c>
      <c r="M195" s="873"/>
      <c r="N195" s="900"/>
    </row>
    <row r="196" spans="1:14" x14ac:dyDescent="0.25">
      <c r="A196" s="802" t="s">
        <v>1313</v>
      </c>
      <c r="B196" s="803"/>
      <c r="C196" s="803"/>
      <c r="D196" s="803"/>
      <c r="E196" s="803"/>
      <c r="F196" s="803"/>
      <c r="G196" s="803"/>
      <c r="H196" s="803"/>
      <c r="I196" s="803"/>
      <c r="J196" s="803"/>
      <c r="K196" s="803"/>
      <c r="L196" s="803"/>
      <c r="M196" s="803"/>
      <c r="N196" s="804"/>
    </row>
    <row r="197" spans="1:14" x14ac:dyDescent="0.25">
      <c r="A197" s="849">
        <v>38</v>
      </c>
      <c r="B197" s="881" t="s">
        <v>1050</v>
      </c>
      <c r="C197" s="849" t="s">
        <v>1043</v>
      </c>
      <c r="D197" s="827" t="s">
        <v>1314</v>
      </c>
      <c r="E197" s="870">
        <v>96998.2</v>
      </c>
      <c r="F197" s="409" t="s">
        <v>3</v>
      </c>
      <c r="G197" s="410">
        <f>SUM(G198:G199)</f>
        <v>46429</v>
      </c>
      <c r="H197" s="410">
        <f>SUM(H198:H199)</f>
        <v>50569.2</v>
      </c>
      <c r="I197" s="410">
        <f>SUM(I198:I199)</f>
        <v>21719.4</v>
      </c>
      <c r="J197" s="410">
        <f>SUM(J198:J199)</f>
        <v>5136.7</v>
      </c>
      <c r="K197" s="410">
        <f>K199</f>
        <v>16582.7</v>
      </c>
      <c r="L197" s="553">
        <f>J197/H197</f>
        <v>0.10157764014459394</v>
      </c>
      <c r="M197" s="833">
        <v>0.7</v>
      </c>
      <c r="N197" s="878" t="s">
        <v>2001</v>
      </c>
    </row>
    <row r="198" spans="1:14" x14ac:dyDescent="0.25">
      <c r="A198" s="850"/>
      <c r="B198" s="885"/>
      <c r="C198" s="850"/>
      <c r="D198" s="828"/>
      <c r="E198" s="850"/>
      <c r="F198" s="203" t="s">
        <v>181</v>
      </c>
      <c r="G198" s="44">
        <v>2336.8000000000002</v>
      </c>
      <c r="H198" s="44">
        <v>30541.8</v>
      </c>
      <c r="I198" s="44">
        <v>5136.7</v>
      </c>
      <c r="J198" s="44">
        <v>5136.7</v>
      </c>
      <c r="K198" s="44">
        <v>0</v>
      </c>
      <c r="L198" s="554">
        <f>J198/H198</f>
        <v>0.16818589605065845</v>
      </c>
      <c r="M198" s="834"/>
      <c r="N198" s="879"/>
    </row>
    <row r="199" spans="1:14" x14ac:dyDescent="0.25">
      <c r="A199" s="850"/>
      <c r="B199" s="885"/>
      <c r="C199" s="850"/>
      <c r="D199" s="828"/>
      <c r="E199" s="850"/>
      <c r="F199" s="203" t="s">
        <v>663</v>
      </c>
      <c r="G199" s="44">
        <v>44092.2</v>
      </c>
      <c r="H199" s="44">
        <v>20027.400000000001</v>
      </c>
      <c r="I199" s="44">
        <v>16582.7</v>
      </c>
      <c r="J199" s="44">
        <v>0</v>
      </c>
      <c r="K199" s="44">
        <v>16582.7</v>
      </c>
      <c r="L199" s="554">
        <f>J199/H199</f>
        <v>0</v>
      </c>
      <c r="M199" s="834"/>
      <c r="N199" s="879"/>
    </row>
    <row r="200" spans="1:14" x14ac:dyDescent="0.25">
      <c r="A200" s="849">
        <v>39</v>
      </c>
      <c r="B200" s="881" t="s">
        <v>1051</v>
      </c>
      <c r="C200" s="849" t="s">
        <v>1043</v>
      </c>
      <c r="D200" s="827" t="s">
        <v>1315</v>
      </c>
      <c r="E200" s="870">
        <v>34362</v>
      </c>
      <c r="F200" s="409" t="s">
        <v>3</v>
      </c>
      <c r="G200" s="410">
        <f>SUM(G201:G201)</f>
        <v>29445.5</v>
      </c>
      <c r="H200" s="44">
        <f>H201</f>
        <v>4916.3999999999996</v>
      </c>
      <c r="I200" s="44">
        <v>0</v>
      </c>
      <c r="J200" s="44">
        <v>0</v>
      </c>
      <c r="K200" s="44">
        <v>0</v>
      </c>
      <c r="L200" s="553">
        <f>J200/H200</f>
        <v>0</v>
      </c>
      <c r="M200" s="833">
        <v>0.86</v>
      </c>
      <c r="N200" s="878" t="s">
        <v>2002</v>
      </c>
    </row>
    <row r="201" spans="1:14" x14ac:dyDescent="0.25">
      <c r="A201" s="850"/>
      <c r="B201" s="885"/>
      <c r="C201" s="850"/>
      <c r="D201" s="828"/>
      <c r="E201" s="850"/>
      <c r="F201" s="203" t="s">
        <v>181</v>
      </c>
      <c r="G201" s="44">
        <v>29445.5</v>
      </c>
      <c r="H201" s="44">
        <v>4916.3999999999996</v>
      </c>
      <c r="I201" s="44">
        <v>0</v>
      </c>
      <c r="J201" s="44">
        <v>0</v>
      </c>
      <c r="K201" s="44">
        <v>0</v>
      </c>
      <c r="L201" s="554">
        <f t="shared" ref="L201:L229" si="28">J201/H201</f>
        <v>0</v>
      </c>
      <c r="M201" s="834"/>
      <c r="N201" s="879"/>
    </row>
    <row r="202" spans="1:14" x14ac:dyDescent="0.25">
      <c r="A202" s="849">
        <v>40</v>
      </c>
      <c r="B202" s="881" t="s">
        <v>1052</v>
      </c>
      <c r="C202" s="849" t="s">
        <v>1043</v>
      </c>
      <c r="D202" s="827" t="s">
        <v>1316</v>
      </c>
      <c r="E202" s="870">
        <v>146390</v>
      </c>
      <c r="F202" s="409" t="s">
        <v>3</v>
      </c>
      <c r="G202" s="410">
        <f>SUM(G203:G204)</f>
        <v>75721.8</v>
      </c>
      <c r="H202" s="410">
        <f>SUM(H203:H204)-0.1</f>
        <v>70668.2</v>
      </c>
      <c r="I202" s="410">
        <f>SUM(I203:I204)</f>
        <v>2660.6</v>
      </c>
      <c r="J202" s="410">
        <f>SUM(J203:J204)</f>
        <v>2660.6</v>
      </c>
      <c r="K202" s="410">
        <f>SUM(K203:K204)</f>
        <v>0</v>
      </c>
      <c r="L202" s="553">
        <f t="shared" si="28"/>
        <v>3.7649183083763277E-2</v>
      </c>
      <c r="M202" s="833">
        <v>0.54</v>
      </c>
      <c r="N202" s="878" t="s">
        <v>2003</v>
      </c>
    </row>
    <row r="203" spans="1:14" x14ac:dyDescent="0.25">
      <c r="A203" s="850"/>
      <c r="B203" s="885"/>
      <c r="C203" s="850"/>
      <c r="D203" s="828"/>
      <c r="E203" s="850"/>
      <c r="F203" s="203" t="s">
        <v>181</v>
      </c>
      <c r="G203" s="44">
        <v>10926.7</v>
      </c>
      <c r="H203" s="44">
        <v>13437.8</v>
      </c>
      <c r="I203" s="44">
        <v>2660.6</v>
      </c>
      <c r="J203" s="44">
        <v>2660.6</v>
      </c>
      <c r="K203" s="44">
        <v>0</v>
      </c>
      <c r="L203" s="554">
        <f t="shared" si="28"/>
        <v>0.19799371920998973</v>
      </c>
      <c r="M203" s="834"/>
      <c r="N203" s="879"/>
    </row>
    <row r="204" spans="1:14" x14ac:dyDescent="0.25">
      <c r="A204" s="850"/>
      <c r="B204" s="885"/>
      <c r="C204" s="850"/>
      <c r="D204" s="828"/>
      <c r="E204" s="850"/>
      <c r="F204" s="134" t="s">
        <v>663</v>
      </c>
      <c r="G204" s="44">
        <v>64795.1</v>
      </c>
      <c r="H204" s="44">
        <v>57230.5</v>
      </c>
      <c r="I204" s="44">
        <v>0</v>
      </c>
      <c r="J204" s="44">
        <v>0</v>
      </c>
      <c r="K204" s="44">
        <v>0</v>
      </c>
      <c r="L204" s="554">
        <f t="shared" si="28"/>
        <v>0</v>
      </c>
      <c r="M204" s="834"/>
      <c r="N204" s="879"/>
    </row>
    <row r="205" spans="1:14" x14ac:dyDescent="0.25">
      <c r="A205" s="849">
        <v>41</v>
      </c>
      <c r="B205" s="881" t="s">
        <v>1317</v>
      </c>
      <c r="C205" s="849" t="s">
        <v>1043</v>
      </c>
      <c r="D205" s="827" t="s">
        <v>2004</v>
      </c>
      <c r="E205" s="870">
        <v>648139</v>
      </c>
      <c r="F205" s="409" t="s">
        <v>3</v>
      </c>
      <c r="G205" s="410">
        <f>SUM(G206:G207)</f>
        <v>29090.3</v>
      </c>
      <c r="H205" s="410">
        <f>SUM(H206:H207)</f>
        <v>285646.09999999998</v>
      </c>
      <c r="I205" s="410">
        <f t="shared" ref="I205:J205" si="29">I206+I207+I208+I209</f>
        <v>1288967.3</v>
      </c>
      <c r="J205" s="410">
        <f t="shared" si="29"/>
        <v>1274432.3999999999</v>
      </c>
      <c r="K205" s="410">
        <f>K206</f>
        <v>4999.8999999999996</v>
      </c>
      <c r="L205" s="553">
        <f t="shared" si="28"/>
        <v>4.4615781556268406</v>
      </c>
      <c r="M205" s="833">
        <v>0.48</v>
      </c>
      <c r="N205" s="878" t="s">
        <v>2005</v>
      </c>
    </row>
    <row r="206" spans="1:14" x14ac:dyDescent="0.25">
      <c r="A206" s="850"/>
      <c r="B206" s="885"/>
      <c r="C206" s="850"/>
      <c r="D206" s="828"/>
      <c r="E206" s="850"/>
      <c r="F206" s="203" t="s">
        <v>181</v>
      </c>
      <c r="G206" s="44">
        <v>29090.3</v>
      </c>
      <c r="H206" s="44">
        <v>47721.5</v>
      </c>
      <c r="I206" s="44">
        <v>44822.7</v>
      </c>
      <c r="J206" s="44">
        <v>39822.800000000003</v>
      </c>
      <c r="K206" s="44">
        <v>4999.8999999999996</v>
      </c>
      <c r="L206" s="554">
        <f t="shared" si="28"/>
        <v>0.83448340894565354</v>
      </c>
      <c r="M206" s="834"/>
      <c r="N206" s="879"/>
    </row>
    <row r="207" spans="1:14" x14ac:dyDescent="0.25">
      <c r="A207" s="850"/>
      <c r="B207" s="885"/>
      <c r="C207" s="850"/>
      <c r="D207" s="828"/>
      <c r="E207" s="850"/>
      <c r="F207" s="203" t="s">
        <v>663</v>
      </c>
      <c r="G207" s="44">
        <v>0</v>
      </c>
      <c r="H207" s="44">
        <v>237924.6</v>
      </c>
      <c r="I207" s="44">
        <v>237924.6</v>
      </c>
      <c r="J207" s="44">
        <v>237924.6</v>
      </c>
      <c r="K207" s="44">
        <v>0</v>
      </c>
      <c r="L207" s="554">
        <v>0</v>
      </c>
      <c r="M207" s="834"/>
      <c r="N207" s="879"/>
    </row>
    <row r="208" spans="1:14" x14ac:dyDescent="0.25">
      <c r="A208" s="849">
        <v>42</v>
      </c>
      <c r="B208" s="881" t="s">
        <v>2006</v>
      </c>
      <c r="C208" s="849" t="s">
        <v>1043</v>
      </c>
      <c r="D208" s="827" t="s">
        <v>2007</v>
      </c>
      <c r="E208" s="870">
        <v>928050.9</v>
      </c>
      <c r="F208" s="409" t="s">
        <v>3</v>
      </c>
      <c r="G208" s="410">
        <f>SUM(G209:G210)</f>
        <v>0</v>
      </c>
      <c r="H208" s="410">
        <f>SUM(H209:H210)</f>
        <v>519418.05</v>
      </c>
      <c r="I208" s="410">
        <f>SUM(I209:I210)</f>
        <v>507211.8</v>
      </c>
      <c r="J208" s="410">
        <f>SUM(J209:J210)</f>
        <v>502444.3</v>
      </c>
      <c r="K208" s="410">
        <v>0</v>
      </c>
      <c r="L208" s="553">
        <f t="shared" si="28"/>
        <v>0.96732160155004243</v>
      </c>
      <c r="M208" s="833">
        <v>0.54</v>
      </c>
      <c r="N208" s="878" t="s">
        <v>1984</v>
      </c>
    </row>
    <row r="209" spans="1:14" x14ac:dyDescent="0.25">
      <c r="A209" s="850"/>
      <c r="B209" s="885"/>
      <c r="C209" s="850"/>
      <c r="D209" s="828"/>
      <c r="E209" s="850"/>
      <c r="F209" s="203" t="s">
        <v>181</v>
      </c>
      <c r="G209" s="44">
        <v>0</v>
      </c>
      <c r="H209" s="517">
        <v>511214.45</v>
      </c>
      <c r="I209" s="44">
        <v>499008.2</v>
      </c>
      <c r="J209" s="44">
        <v>494240.7</v>
      </c>
      <c r="K209" s="44">
        <v>0</v>
      </c>
      <c r="L209" s="554">
        <f t="shared" si="28"/>
        <v>0.96679720223088372</v>
      </c>
      <c r="M209" s="834"/>
      <c r="N209" s="879"/>
    </row>
    <row r="210" spans="1:14" x14ac:dyDescent="0.25">
      <c r="A210" s="850"/>
      <c r="B210" s="885"/>
      <c r="C210" s="850"/>
      <c r="D210" s="828"/>
      <c r="E210" s="850"/>
      <c r="F210" s="203" t="s">
        <v>663</v>
      </c>
      <c r="G210" s="44">
        <v>0</v>
      </c>
      <c r="H210" s="517">
        <v>8203.6</v>
      </c>
      <c r="I210" s="44">
        <v>8203.6</v>
      </c>
      <c r="J210" s="44">
        <v>8203.6</v>
      </c>
      <c r="K210" s="44">
        <v>0</v>
      </c>
      <c r="L210" s="554">
        <v>0</v>
      </c>
      <c r="M210" s="834"/>
      <c r="N210" s="879"/>
    </row>
    <row r="211" spans="1:14" x14ac:dyDescent="0.25">
      <c r="A211" s="849">
        <v>43</v>
      </c>
      <c r="B211" s="881" t="s">
        <v>1319</v>
      </c>
      <c r="C211" s="849" t="s">
        <v>1043</v>
      </c>
      <c r="D211" s="827" t="s">
        <v>2008</v>
      </c>
      <c r="E211" s="870">
        <v>238018.9</v>
      </c>
      <c r="F211" s="409" t="s">
        <v>3</v>
      </c>
      <c r="G211" s="410">
        <f>SUM(G212:G213)</f>
        <v>0</v>
      </c>
      <c r="H211" s="410">
        <f>SUM(H212:H213)</f>
        <v>238019</v>
      </c>
      <c r="I211" s="410">
        <f>SUM(I212:I213)</f>
        <v>99154.900000000009</v>
      </c>
      <c r="J211" s="410">
        <f>SUM(J212:J213)</f>
        <v>99154.900000000009</v>
      </c>
      <c r="K211" s="410">
        <v>0</v>
      </c>
      <c r="L211" s="553">
        <f t="shared" si="28"/>
        <v>0.41658397018725402</v>
      </c>
      <c r="M211" s="833">
        <v>0.42</v>
      </c>
      <c r="N211" s="878" t="s">
        <v>1980</v>
      </c>
    </row>
    <row r="212" spans="1:14" x14ac:dyDescent="0.25">
      <c r="A212" s="850"/>
      <c r="B212" s="885"/>
      <c r="C212" s="850"/>
      <c r="D212" s="828"/>
      <c r="E212" s="850"/>
      <c r="F212" s="203" t="s">
        <v>181</v>
      </c>
      <c r="G212" s="44">
        <v>0</v>
      </c>
      <c r="H212" s="44">
        <v>108278.9</v>
      </c>
      <c r="I212" s="44">
        <v>12770.1</v>
      </c>
      <c r="J212" s="44">
        <v>12770.1</v>
      </c>
      <c r="K212" s="44">
        <v>0</v>
      </c>
      <c r="L212" s="554">
        <f t="shared" si="28"/>
        <v>0.11793710501307274</v>
      </c>
      <c r="M212" s="834"/>
      <c r="N212" s="879"/>
    </row>
    <row r="213" spans="1:14" x14ac:dyDescent="0.25">
      <c r="A213" s="850"/>
      <c r="B213" s="885"/>
      <c r="C213" s="850"/>
      <c r="D213" s="828"/>
      <c r="E213" s="850"/>
      <c r="F213" s="203" t="s">
        <v>663</v>
      </c>
      <c r="G213" s="44">
        <v>0</v>
      </c>
      <c r="H213" s="44">
        <v>129740.1</v>
      </c>
      <c r="I213" s="44">
        <v>86384.8</v>
      </c>
      <c r="J213" s="44">
        <v>86384.8</v>
      </c>
      <c r="K213" s="44">
        <v>0</v>
      </c>
      <c r="L213" s="554">
        <f t="shared" si="28"/>
        <v>0.66582960857899753</v>
      </c>
      <c r="M213" s="834"/>
      <c r="N213" s="879"/>
    </row>
    <row r="214" spans="1:14" x14ac:dyDescent="0.25">
      <c r="A214" s="831">
        <v>44</v>
      </c>
      <c r="B214" s="881" t="s">
        <v>1320</v>
      </c>
      <c r="C214" s="849" t="s">
        <v>1043</v>
      </c>
      <c r="D214" s="827" t="s">
        <v>1318</v>
      </c>
      <c r="E214" s="883">
        <v>5194.71</v>
      </c>
      <c r="F214" s="409" t="s">
        <v>3</v>
      </c>
      <c r="G214" s="410">
        <f>SUM(G215:G216)</f>
        <v>5194.7</v>
      </c>
      <c r="H214" s="410">
        <f>SUM(H215:H216)</f>
        <v>0</v>
      </c>
      <c r="I214" s="410">
        <f>I215</f>
        <v>0</v>
      </c>
      <c r="J214" s="410">
        <f>J215</f>
        <v>0</v>
      </c>
      <c r="K214" s="410">
        <v>0</v>
      </c>
      <c r="L214" s="553">
        <v>0</v>
      </c>
      <c r="M214" s="833">
        <v>0.01</v>
      </c>
      <c r="N214" s="878" t="s">
        <v>2003</v>
      </c>
    </row>
    <row r="215" spans="1:14" x14ac:dyDescent="0.25">
      <c r="A215" s="831"/>
      <c r="B215" s="885"/>
      <c r="C215" s="850"/>
      <c r="D215" s="828"/>
      <c r="E215" s="831"/>
      <c r="F215" s="203" t="s">
        <v>181</v>
      </c>
      <c r="G215" s="44">
        <v>5194.7</v>
      </c>
      <c r="H215" s="44">
        <v>0</v>
      </c>
      <c r="I215" s="44">
        <v>0</v>
      </c>
      <c r="J215" s="44">
        <v>0</v>
      </c>
      <c r="K215" s="44">
        <v>0</v>
      </c>
      <c r="L215" s="554">
        <v>0</v>
      </c>
      <c r="M215" s="834"/>
      <c r="N215" s="879"/>
    </row>
    <row r="216" spans="1:14" x14ac:dyDescent="0.25">
      <c r="A216" s="831"/>
      <c r="B216" s="885"/>
      <c r="C216" s="850"/>
      <c r="D216" s="828"/>
      <c r="E216" s="831"/>
      <c r="F216" s="203" t="s">
        <v>663</v>
      </c>
      <c r="G216" s="44">
        <v>0</v>
      </c>
      <c r="H216" s="44"/>
      <c r="I216" s="44">
        <v>0</v>
      </c>
      <c r="J216" s="44">
        <v>0</v>
      </c>
      <c r="K216" s="44">
        <v>0</v>
      </c>
      <c r="L216" s="554">
        <v>0</v>
      </c>
      <c r="M216" s="834"/>
      <c r="N216" s="879"/>
    </row>
    <row r="217" spans="1:14" x14ac:dyDescent="0.25">
      <c r="A217" s="849">
        <v>45</v>
      </c>
      <c r="B217" s="881" t="s">
        <v>1321</v>
      </c>
      <c r="C217" s="849" t="s">
        <v>1043</v>
      </c>
      <c r="D217" s="827" t="s">
        <v>1322</v>
      </c>
      <c r="E217" s="870">
        <v>1089740.8999999999</v>
      </c>
      <c r="F217" s="409" t="s">
        <v>3</v>
      </c>
      <c r="G217" s="410">
        <f>G218</f>
        <v>4196.2</v>
      </c>
      <c r="H217" s="410">
        <f>SUM(H218:H219)</f>
        <v>341622.9</v>
      </c>
      <c r="I217" s="410">
        <f>SUM(I218:I219)</f>
        <v>284189.40000000002</v>
      </c>
      <c r="J217" s="410">
        <f>SUM(J218:J219)</f>
        <v>284189.40000000002</v>
      </c>
      <c r="K217" s="410">
        <v>0</v>
      </c>
      <c r="L217" s="553">
        <f>J217/H217</f>
        <v>0.83188041551078695</v>
      </c>
      <c r="M217" s="833">
        <v>0.27</v>
      </c>
      <c r="N217" s="878" t="s">
        <v>2009</v>
      </c>
    </row>
    <row r="218" spans="1:14" x14ac:dyDescent="0.25">
      <c r="A218" s="850"/>
      <c r="B218" s="885"/>
      <c r="C218" s="850"/>
      <c r="D218" s="828"/>
      <c r="E218" s="850"/>
      <c r="F218" s="203" t="s">
        <v>181</v>
      </c>
      <c r="G218" s="44">
        <v>4196.2</v>
      </c>
      <c r="H218" s="44">
        <v>102900.3</v>
      </c>
      <c r="I218" s="44">
        <v>45466.8</v>
      </c>
      <c r="J218" s="44">
        <v>45466.8</v>
      </c>
      <c r="K218" s="44">
        <v>0</v>
      </c>
      <c r="L218" s="554">
        <f>J218/H218</f>
        <v>0.44185293920425889</v>
      </c>
      <c r="M218" s="834"/>
      <c r="N218" s="879"/>
    </row>
    <row r="219" spans="1:14" x14ac:dyDescent="0.25">
      <c r="A219" s="884"/>
      <c r="B219" s="886"/>
      <c r="C219" s="884"/>
      <c r="D219" s="887"/>
      <c r="E219" s="884"/>
      <c r="F219" s="203" t="s">
        <v>5</v>
      </c>
      <c r="G219" s="410">
        <v>0</v>
      </c>
      <c r="H219" s="44">
        <v>238722.6</v>
      </c>
      <c r="I219" s="44">
        <v>238722.6</v>
      </c>
      <c r="J219" s="44">
        <v>238722.6</v>
      </c>
      <c r="K219" s="410">
        <v>0</v>
      </c>
      <c r="L219" s="553">
        <f>J219/H219</f>
        <v>1</v>
      </c>
      <c r="M219" s="888"/>
      <c r="N219" s="880"/>
    </row>
    <row r="220" spans="1:14" x14ac:dyDescent="0.25">
      <c r="A220" s="849">
        <v>46</v>
      </c>
      <c r="B220" s="881" t="s">
        <v>2010</v>
      </c>
      <c r="C220" s="849" t="s">
        <v>1043</v>
      </c>
      <c r="D220" s="827" t="s">
        <v>2011</v>
      </c>
      <c r="E220" s="883">
        <v>86032.6</v>
      </c>
      <c r="F220" s="409" t="s">
        <v>3</v>
      </c>
      <c r="G220" s="410">
        <f>G221</f>
        <v>4.5999999999999996</v>
      </c>
      <c r="H220" s="410">
        <v>0</v>
      </c>
      <c r="I220" s="410">
        <v>0</v>
      </c>
      <c r="J220" s="410">
        <v>0</v>
      </c>
      <c r="K220" s="410">
        <v>0</v>
      </c>
      <c r="L220" s="553">
        <v>0</v>
      </c>
      <c r="M220" s="833">
        <v>0</v>
      </c>
      <c r="N220" s="878" t="s">
        <v>2012</v>
      </c>
    </row>
    <row r="221" spans="1:14" x14ac:dyDescent="0.25">
      <c r="A221" s="862"/>
      <c r="B221" s="882"/>
      <c r="C221" s="862"/>
      <c r="D221" s="828"/>
      <c r="E221" s="831"/>
      <c r="F221" s="134" t="s">
        <v>181</v>
      </c>
      <c r="G221" s="44">
        <v>4.5999999999999996</v>
      </c>
      <c r="H221" s="44">
        <v>0</v>
      </c>
      <c r="I221" s="44">
        <v>0</v>
      </c>
      <c r="J221" s="44">
        <v>0</v>
      </c>
      <c r="K221" s="44">
        <v>0</v>
      </c>
      <c r="L221" s="554">
        <v>0</v>
      </c>
      <c r="M221" s="834"/>
      <c r="N221" s="879"/>
    </row>
    <row r="222" spans="1:14" x14ac:dyDescent="0.25">
      <c r="A222" s="802" t="s">
        <v>1323</v>
      </c>
      <c r="B222" s="803"/>
      <c r="C222" s="803"/>
      <c r="D222" s="803"/>
      <c r="E222" s="803"/>
      <c r="F222" s="803"/>
      <c r="G222" s="803"/>
      <c r="H222" s="803"/>
      <c r="I222" s="803"/>
      <c r="J222" s="803"/>
      <c r="K222" s="803"/>
      <c r="L222" s="803"/>
      <c r="M222" s="803"/>
      <c r="N222" s="804"/>
    </row>
    <row r="223" spans="1:14" x14ac:dyDescent="0.25">
      <c r="A223" s="849">
        <v>47</v>
      </c>
      <c r="B223" s="875" t="s">
        <v>1324</v>
      </c>
      <c r="C223" s="827" t="s">
        <v>1325</v>
      </c>
      <c r="D223" s="849" t="s">
        <v>2013</v>
      </c>
      <c r="E223" s="870">
        <v>539034</v>
      </c>
      <c r="F223" s="409" t="s">
        <v>3</v>
      </c>
      <c r="G223" s="410">
        <f>SUM(G224:G225)</f>
        <v>483865</v>
      </c>
      <c r="H223" s="410">
        <f>SUM(H224:H225)</f>
        <v>42144.6</v>
      </c>
      <c r="I223" s="410">
        <f t="shared" ref="I223:J223" si="30">I224+I225</f>
        <v>42144.6</v>
      </c>
      <c r="J223" s="410">
        <f t="shared" si="30"/>
        <v>0</v>
      </c>
      <c r="K223" s="410">
        <v>0</v>
      </c>
      <c r="L223" s="553">
        <v>0</v>
      </c>
      <c r="M223" s="833">
        <v>0.9</v>
      </c>
      <c r="N223" s="820" t="s">
        <v>2014</v>
      </c>
    </row>
    <row r="224" spans="1:14" x14ac:dyDescent="0.25">
      <c r="A224" s="850"/>
      <c r="B224" s="875"/>
      <c r="C224" s="828"/>
      <c r="D224" s="850"/>
      <c r="E224" s="877"/>
      <c r="F224" s="203" t="s">
        <v>181</v>
      </c>
      <c r="G224" s="44">
        <v>473865</v>
      </c>
      <c r="H224" s="44">
        <v>42144.6</v>
      </c>
      <c r="I224" s="44">
        <v>42144.6</v>
      </c>
      <c r="J224" s="44">
        <v>0</v>
      </c>
      <c r="K224" s="44">
        <v>0</v>
      </c>
      <c r="L224" s="554">
        <v>0</v>
      </c>
      <c r="M224" s="834"/>
      <c r="N224" s="821"/>
    </row>
    <row r="225" spans="1:14" x14ac:dyDescent="0.25">
      <c r="A225" s="850"/>
      <c r="B225" s="875"/>
      <c r="C225" s="828"/>
      <c r="D225" s="862"/>
      <c r="E225" s="871"/>
      <c r="F225" s="203" t="s">
        <v>7</v>
      </c>
      <c r="G225" s="44">
        <v>10000</v>
      </c>
      <c r="H225" s="44">
        <v>0</v>
      </c>
      <c r="I225" s="44">
        <v>0</v>
      </c>
      <c r="J225" s="44">
        <v>0</v>
      </c>
      <c r="K225" s="44">
        <v>0</v>
      </c>
      <c r="L225" s="554">
        <v>0</v>
      </c>
      <c r="M225" s="858"/>
      <c r="N225" s="822"/>
    </row>
    <row r="226" spans="1:14" x14ac:dyDescent="0.25">
      <c r="A226" s="849">
        <v>48</v>
      </c>
      <c r="B226" s="875" t="s">
        <v>1326</v>
      </c>
      <c r="C226" s="827" t="s">
        <v>1327</v>
      </c>
      <c r="D226" s="827" t="s">
        <v>1328</v>
      </c>
      <c r="E226" s="876">
        <v>449536.29</v>
      </c>
      <c r="F226" s="409" t="s">
        <v>3</v>
      </c>
      <c r="G226" s="410">
        <f>SUM(G227:G228)</f>
        <v>417201.6</v>
      </c>
      <c r="H226" s="410">
        <f>SUM(H227:H228)</f>
        <v>32334.695670000001</v>
      </c>
      <c r="I226" s="410">
        <f>I227+I228</f>
        <v>32334.695670000001</v>
      </c>
      <c r="J226" s="410">
        <f>J227+J228</f>
        <v>32334.695670000001</v>
      </c>
      <c r="K226" s="410">
        <v>0</v>
      </c>
      <c r="L226" s="855">
        <v>1</v>
      </c>
      <c r="M226" s="872">
        <v>1</v>
      </c>
      <c r="N226" s="812" t="s">
        <v>2015</v>
      </c>
    </row>
    <row r="227" spans="1:14" x14ac:dyDescent="0.25">
      <c r="A227" s="850"/>
      <c r="B227" s="875"/>
      <c r="C227" s="828"/>
      <c r="D227" s="828"/>
      <c r="E227" s="828"/>
      <c r="F227" s="203" t="s">
        <v>181</v>
      </c>
      <c r="G227" s="44">
        <v>405340</v>
      </c>
      <c r="H227" s="44">
        <v>32334.695670000001</v>
      </c>
      <c r="I227" s="44">
        <v>32334.695670000001</v>
      </c>
      <c r="J227" s="44">
        <v>32334.695670000001</v>
      </c>
      <c r="K227" s="44">
        <v>0</v>
      </c>
      <c r="L227" s="856"/>
      <c r="M227" s="873"/>
      <c r="N227" s="813"/>
    </row>
    <row r="228" spans="1:14" ht="32.25" customHeight="1" x14ac:dyDescent="0.25">
      <c r="A228" s="850"/>
      <c r="B228" s="875"/>
      <c r="C228" s="828"/>
      <c r="D228" s="828"/>
      <c r="E228" s="828"/>
      <c r="F228" s="203" t="s">
        <v>7</v>
      </c>
      <c r="G228" s="44">
        <v>11861.6</v>
      </c>
      <c r="H228" s="44">
        <v>0</v>
      </c>
      <c r="I228" s="44">
        <v>0</v>
      </c>
      <c r="J228" s="44">
        <v>0</v>
      </c>
      <c r="K228" s="44">
        <v>0</v>
      </c>
      <c r="L228" s="864"/>
      <c r="M228" s="874"/>
      <c r="N228" s="814"/>
    </row>
    <row r="229" spans="1:14" x14ac:dyDescent="0.25">
      <c r="A229" s="849">
        <v>49</v>
      </c>
      <c r="B229" s="875" t="s">
        <v>1329</v>
      </c>
      <c r="C229" s="827" t="s">
        <v>1327</v>
      </c>
      <c r="D229" s="827" t="s">
        <v>1330</v>
      </c>
      <c r="E229" s="876">
        <v>360564.8</v>
      </c>
      <c r="F229" s="409" t="s">
        <v>3</v>
      </c>
      <c r="G229" s="410">
        <f>SUM(G230:G231)</f>
        <v>10000</v>
      </c>
      <c r="H229" s="410">
        <f>SUM(H230:H231)</f>
        <v>169006.1</v>
      </c>
      <c r="I229" s="410">
        <f>SUM(I230:I231)</f>
        <v>169006.1</v>
      </c>
      <c r="J229" s="410">
        <v>0</v>
      </c>
      <c r="K229" s="410">
        <v>0</v>
      </c>
      <c r="L229" s="553">
        <f t="shared" si="28"/>
        <v>0</v>
      </c>
      <c r="M229" s="833">
        <v>0.03</v>
      </c>
      <c r="N229" s="820" t="s">
        <v>2014</v>
      </c>
    </row>
    <row r="230" spans="1:14" x14ac:dyDescent="0.25">
      <c r="A230" s="850"/>
      <c r="B230" s="875"/>
      <c r="C230" s="828"/>
      <c r="D230" s="828"/>
      <c r="E230" s="828"/>
      <c r="F230" s="203" t="s">
        <v>181</v>
      </c>
      <c r="G230" s="44">
        <v>0</v>
      </c>
      <c r="H230" s="44">
        <v>169006.1</v>
      </c>
      <c r="I230" s="44">
        <v>169006.1</v>
      </c>
      <c r="J230" s="44">
        <v>0</v>
      </c>
      <c r="K230" s="44">
        <v>0</v>
      </c>
      <c r="L230" s="554">
        <v>0</v>
      </c>
      <c r="M230" s="834"/>
      <c r="N230" s="821"/>
    </row>
    <row r="231" spans="1:14" x14ac:dyDescent="0.25">
      <c r="A231" s="850"/>
      <c r="B231" s="875"/>
      <c r="C231" s="828"/>
      <c r="D231" s="828"/>
      <c r="E231" s="828"/>
      <c r="F231" s="203" t="s">
        <v>7</v>
      </c>
      <c r="G231" s="44">
        <v>10000</v>
      </c>
      <c r="H231" s="44">
        <v>0</v>
      </c>
      <c r="I231" s="44">
        <v>0</v>
      </c>
      <c r="J231" s="44">
        <v>0</v>
      </c>
      <c r="K231" s="44">
        <v>0</v>
      </c>
      <c r="L231" s="554">
        <v>0</v>
      </c>
      <c r="M231" s="858"/>
      <c r="N231" s="822"/>
    </row>
    <row r="232" spans="1:14" x14ac:dyDescent="0.25">
      <c r="A232" s="843" t="s">
        <v>2016</v>
      </c>
      <c r="B232" s="846" t="s">
        <v>2017</v>
      </c>
      <c r="C232" s="849" t="s">
        <v>2018</v>
      </c>
      <c r="D232" s="849" t="s">
        <v>2019</v>
      </c>
      <c r="E232" s="849">
        <v>389351</v>
      </c>
      <c r="F232" s="537" t="s">
        <v>3</v>
      </c>
      <c r="G232" s="538">
        <f>G233+G235+G234</f>
        <v>0</v>
      </c>
      <c r="H232" s="538">
        <f t="shared" ref="H232:K232" si="31">H233+H235+H234</f>
        <v>165912</v>
      </c>
      <c r="I232" s="538">
        <f t="shared" si="31"/>
        <v>165912</v>
      </c>
      <c r="J232" s="538">
        <f t="shared" si="31"/>
        <v>0</v>
      </c>
      <c r="K232" s="538">
        <f t="shared" si="31"/>
        <v>0</v>
      </c>
      <c r="L232" s="855">
        <f>J232/H232</f>
        <v>0</v>
      </c>
      <c r="M232" s="833">
        <v>0</v>
      </c>
      <c r="N232" s="865" t="s">
        <v>2020</v>
      </c>
    </row>
    <row r="233" spans="1:14" x14ac:dyDescent="0.25">
      <c r="A233" s="844"/>
      <c r="B233" s="847"/>
      <c r="C233" s="850"/>
      <c r="D233" s="850"/>
      <c r="E233" s="850"/>
      <c r="F233" s="134" t="s">
        <v>181</v>
      </c>
      <c r="G233" s="44">
        <v>0</v>
      </c>
      <c r="H233" s="44">
        <v>60962</v>
      </c>
      <c r="I233" s="44">
        <v>60962</v>
      </c>
      <c r="J233" s="44">
        <v>0</v>
      </c>
      <c r="K233" s="44">
        <v>0</v>
      </c>
      <c r="L233" s="856"/>
      <c r="M233" s="834"/>
      <c r="N233" s="866"/>
    </row>
    <row r="234" spans="1:14" x14ac:dyDescent="0.25">
      <c r="A234" s="844"/>
      <c r="B234" s="847"/>
      <c r="C234" s="850"/>
      <c r="D234" s="850"/>
      <c r="E234" s="850"/>
      <c r="F234" s="134" t="s">
        <v>663</v>
      </c>
      <c r="G234" s="44">
        <v>0</v>
      </c>
      <c r="H234" s="44">
        <v>87300</v>
      </c>
      <c r="I234" s="44">
        <v>87300</v>
      </c>
      <c r="J234" s="44">
        <v>0</v>
      </c>
      <c r="K234" s="44">
        <v>0</v>
      </c>
      <c r="L234" s="856"/>
      <c r="M234" s="834"/>
      <c r="N234" s="866"/>
    </row>
    <row r="235" spans="1:14" x14ac:dyDescent="0.25">
      <c r="A235" s="860"/>
      <c r="B235" s="861"/>
      <c r="C235" s="862"/>
      <c r="D235" s="862"/>
      <c r="E235" s="862"/>
      <c r="F235" s="134" t="s">
        <v>7</v>
      </c>
      <c r="G235" s="44">
        <v>0</v>
      </c>
      <c r="H235" s="44">
        <v>17650</v>
      </c>
      <c r="I235" s="44">
        <v>17650</v>
      </c>
      <c r="J235" s="44">
        <v>0</v>
      </c>
      <c r="K235" s="44">
        <v>0</v>
      </c>
      <c r="L235" s="864"/>
      <c r="M235" s="858"/>
      <c r="N235" s="867"/>
    </row>
    <row r="236" spans="1:14" x14ac:dyDescent="0.25">
      <c r="A236" s="843" t="s">
        <v>2021</v>
      </c>
      <c r="B236" s="868" t="s">
        <v>1331</v>
      </c>
      <c r="C236" s="849" t="s">
        <v>2022</v>
      </c>
      <c r="D236" s="849" t="s">
        <v>1332</v>
      </c>
      <c r="E236" s="870">
        <v>854843.3</v>
      </c>
      <c r="F236" s="537" t="s">
        <v>3</v>
      </c>
      <c r="G236" s="538">
        <f t="shared" ref="G236:K236" si="32">G237</f>
        <v>380741.1</v>
      </c>
      <c r="H236" s="538">
        <f t="shared" si="32"/>
        <v>207850.8</v>
      </c>
      <c r="I236" s="538">
        <f t="shared" si="32"/>
        <v>0</v>
      </c>
      <c r="J236" s="538">
        <f t="shared" si="32"/>
        <v>0</v>
      </c>
      <c r="K236" s="538">
        <f t="shared" si="32"/>
        <v>0</v>
      </c>
      <c r="L236" s="855">
        <v>0</v>
      </c>
      <c r="M236" s="833">
        <v>0.44500000000000001</v>
      </c>
      <c r="N236" s="865" t="s">
        <v>2023</v>
      </c>
    </row>
    <row r="237" spans="1:14" ht="33" customHeight="1" x14ac:dyDescent="0.25">
      <c r="A237" s="860"/>
      <c r="B237" s="869"/>
      <c r="C237" s="862"/>
      <c r="D237" s="862"/>
      <c r="E237" s="871"/>
      <c r="F237" s="134" t="s">
        <v>181</v>
      </c>
      <c r="G237" s="44">
        <v>380741.1</v>
      </c>
      <c r="H237" s="44">
        <v>207850.8</v>
      </c>
      <c r="I237" s="44">
        <v>0</v>
      </c>
      <c r="J237" s="44">
        <v>0</v>
      </c>
      <c r="K237" s="44">
        <v>0</v>
      </c>
      <c r="L237" s="856"/>
      <c r="M237" s="834"/>
      <c r="N237" s="867"/>
    </row>
    <row r="238" spans="1:14" x14ac:dyDescent="0.25">
      <c r="A238" s="843" t="s">
        <v>2024</v>
      </c>
      <c r="B238" s="846" t="s">
        <v>2025</v>
      </c>
      <c r="C238" s="849" t="s">
        <v>2026</v>
      </c>
      <c r="D238" s="849" t="s">
        <v>2027</v>
      </c>
      <c r="E238" s="852">
        <v>13140</v>
      </c>
      <c r="F238" s="537" t="s">
        <v>3</v>
      </c>
      <c r="G238" s="538">
        <v>0</v>
      </c>
      <c r="H238" s="538">
        <v>6752</v>
      </c>
      <c r="I238" s="538">
        <v>0</v>
      </c>
      <c r="J238" s="538">
        <v>0</v>
      </c>
      <c r="K238" s="538">
        <v>0</v>
      </c>
      <c r="L238" s="855">
        <v>0</v>
      </c>
      <c r="M238" s="833">
        <v>0</v>
      </c>
      <c r="N238" s="836" t="s">
        <v>2028</v>
      </c>
    </row>
    <row r="239" spans="1:14" x14ac:dyDescent="0.25">
      <c r="A239" s="844"/>
      <c r="B239" s="847"/>
      <c r="C239" s="850"/>
      <c r="D239" s="850"/>
      <c r="E239" s="853"/>
      <c r="F239" s="134" t="s">
        <v>181</v>
      </c>
      <c r="G239" s="44">
        <v>0</v>
      </c>
      <c r="H239" s="44">
        <v>6752</v>
      </c>
      <c r="I239" s="44">
        <v>0</v>
      </c>
      <c r="J239" s="44">
        <v>0</v>
      </c>
      <c r="K239" s="44">
        <v>0</v>
      </c>
      <c r="L239" s="856"/>
      <c r="M239" s="834"/>
      <c r="N239" s="837"/>
    </row>
    <row r="240" spans="1:14" x14ac:dyDescent="0.25">
      <c r="A240" s="860"/>
      <c r="B240" s="861"/>
      <c r="C240" s="862"/>
      <c r="D240" s="862"/>
      <c r="E240" s="863"/>
      <c r="F240" s="134" t="s">
        <v>7</v>
      </c>
      <c r="G240" s="44">
        <v>0</v>
      </c>
      <c r="H240" s="44">
        <v>0</v>
      </c>
      <c r="I240" s="44">
        <v>0</v>
      </c>
      <c r="J240" s="44">
        <v>0</v>
      </c>
      <c r="K240" s="44">
        <v>0</v>
      </c>
      <c r="L240" s="864"/>
      <c r="M240" s="858"/>
      <c r="N240" s="859"/>
    </row>
    <row r="241" spans="1:14" x14ac:dyDescent="0.25">
      <c r="A241" s="843" t="s">
        <v>2029</v>
      </c>
      <c r="B241" s="846" t="s">
        <v>2030</v>
      </c>
      <c r="C241" s="849" t="s">
        <v>2026</v>
      </c>
      <c r="D241" s="849" t="s">
        <v>2027</v>
      </c>
      <c r="E241" s="852">
        <v>21781.9</v>
      </c>
      <c r="F241" s="537" t="s">
        <v>3</v>
      </c>
      <c r="G241" s="538">
        <v>0</v>
      </c>
      <c r="H241" s="538">
        <v>10217.700000000001</v>
      </c>
      <c r="I241" s="538">
        <v>0</v>
      </c>
      <c r="J241" s="538">
        <v>0</v>
      </c>
      <c r="K241" s="538">
        <v>0</v>
      </c>
      <c r="L241" s="855">
        <v>0</v>
      </c>
      <c r="M241" s="833">
        <v>0</v>
      </c>
      <c r="N241" s="836" t="s">
        <v>2031</v>
      </c>
    </row>
    <row r="242" spans="1:14" x14ac:dyDescent="0.25">
      <c r="A242" s="844"/>
      <c r="B242" s="847"/>
      <c r="C242" s="850"/>
      <c r="D242" s="850"/>
      <c r="E242" s="853"/>
      <c r="F242" s="134" t="s">
        <v>181</v>
      </c>
      <c r="G242" s="44">
        <v>0</v>
      </c>
      <c r="H242" s="44">
        <v>10217.700000000001</v>
      </c>
      <c r="I242" s="44">
        <v>0</v>
      </c>
      <c r="J242" s="44">
        <v>0</v>
      </c>
      <c r="K242" s="44">
        <v>0</v>
      </c>
      <c r="L242" s="856"/>
      <c r="M242" s="834"/>
      <c r="N242" s="837"/>
    </row>
    <row r="243" spans="1:14" x14ac:dyDescent="0.25">
      <c r="A243" s="860"/>
      <c r="B243" s="861"/>
      <c r="C243" s="862"/>
      <c r="D243" s="862"/>
      <c r="E243" s="863"/>
      <c r="F243" s="134" t="s">
        <v>7</v>
      </c>
      <c r="G243" s="44">
        <v>0</v>
      </c>
      <c r="H243" s="44">
        <v>0</v>
      </c>
      <c r="I243" s="44">
        <v>0</v>
      </c>
      <c r="J243" s="44">
        <v>0</v>
      </c>
      <c r="K243" s="44">
        <v>0</v>
      </c>
      <c r="L243" s="864"/>
      <c r="M243" s="858"/>
      <c r="N243" s="859"/>
    </row>
    <row r="244" spans="1:14" x14ac:dyDescent="0.25">
      <c r="A244" s="843" t="s">
        <v>2032</v>
      </c>
      <c r="B244" s="846" t="s">
        <v>2033</v>
      </c>
      <c r="C244" s="849" t="s">
        <v>2026</v>
      </c>
      <c r="D244" s="849" t="s">
        <v>2034</v>
      </c>
      <c r="E244" s="852">
        <v>9036.6</v>
      </c>
      <c r="F244" s="537" t="s">
        <v>3</v>
      </c>
      <c r="G244" s="538">
        <v>0</v>
      </c>
      <c r="H244" s="538">
        <v>9036.5499999999993</v>
      </c>
      <c r="I244" s="538">
        <v>0</v>
      </c>
      <c r="J244" s="538">
        <v>0</v>
      </c>
      <c r="K244" s="538">
        <v>0</v>
      </c>
      <c r="L244" s="855">
        <v>0</v>
      </c>
      <c r="M244" s="833">
        <v>0</v>
      </c>
      <c r="N244" s="836" t="s">
        <v>2035</v>
      </c>
    </row>
    <row r="245" spans="1:14" x14ac:dyDescent="0.25">
      <c r="A245" s="844"/>
      <c r="B245" s="847"/>
      <c r="C245" s="850"/>
      <c r="D245" s="850"/>
      <c r="E245" s="853"/>
      <c r="F245" s="134" t="s">
        <v>181</v>
      </c>
      <c r="G245" s="44">
        <v>0</v>
      </c>
      <c r="H245" s="44">
        <v>9036.5499999999993</v>
      </c>
      <c r="I245" s="44">
        <v>0</v>
      </c>
      <c r="J245" s="44">
        <v>0</v>
      </c>
      <c r="K245" s="44">
        <v>0</v>
      </c>
      <c r="L245" s="856"/>
      <c r="M245" s="834"/>
      <c r="N245" s="837"/>
    </row>
    <row r="246" spans="1:14" ht="15.75" thickBot="1" x14ac:dyDescent="0.3">
      <c r="A246" s="845"/>
      <c r="B246" s="848"/>
      <c r="C246" s="851"/>
      <c r="D246" s="851"/>
      <c r="E246" s="854"/>
      <c r="F246" s="539" t="s">
        <v>7</v>
      </c>
      <c r="G246" s="540">
        <v>0</v>
      </c>
      <c r="H246" s="540">
        <v>0</v>
      </c>
      <c r="I246" s="540">
        <v>0</v>
      </c>
      <c r="J246" s="540">
        <v>0</v>
      </c>
      <c r="K246" s="540">
        <v>0</v>
      </c>
      <c r="L246" s="857"/>
      <c r="M246" s="835"/>
      <c r="N246" s="838"/>
    </row>
    <row r="247" spans="1:14" ht="21" x14ac:dyDescent="0.25">
      <c r="A247" s="787" t="s">
        <v>1333</v>
      </c>
      <c r="B247" s="788"/>
      <c r="C247" s="788"/>
      <c r="D247" s="788"/>
      <c r="E247" s="789"/>
      <c r="F247" s="545" t="s">
        <v>3</v>
      </c>
      <c r="G247" s="546">
        <f>SUM(G249)</f>
        <v>38669</v>
      </c>
      <c r="H247" s="546">
        <f>SUM(H248:H249)</f>
        <v>200154.96</v>
      </c>
      <c r="I247" s="546">
        <f>SUM(I248:I249)</f>
        <v>6209.36</v>
      </c>
      <c r="J247" s="546">
        <f>SUM(J248:J249)</f>
        <v>6209.36</v>
      </c>
      <c r="K247" s="546">
        <v>0</v>
      </c>
      <c r="L247" s="547">
        <f>J247/H247</f>
        <v>3.1022763562791548E-2</v>
      </c>
      <c r="M247" s="841"/>
      <c r="N247" s="842"/>
    </row>
    <row r="248" spans="1:14" x14ac:dyDescent="0.25">
      <c r="A248" s="839"/>
      <c r="B248" s="840"/>
      <c r="C248" s="840"/>
      <c r="D248" s="840"/>
      <c r="E248" s="792"/>
      <c r="F248" s="548" t="s">
        <v>4</v>
      </c>
      <c r="G248" s="546">
        <v>0</v>
      </c>
      <c r="H248" s="546">
        <f>H258</f>
        <v>1351.96</v>
      </c>
      <c r="I248" s="546">
        <f>I258</f>
        <v>993.36</v>
      </c>
      <c r="J248" s="546">
        <f>J258</f>
        <v>993.36</v>
      </c>
      <c r="K248" s="546">
        <v>0</v>
      </c>
      <c r="L248" s="547">
        <f>J248/H248</f>
        <v>0.73475546613805143</v>
      </c>
      <c r="M248" s="841"/>
      <c r="N248" s="842"/>
    </row>
    <row r="249" spans="1:14" x14ac:dyDescent="0.25">
      <c r="A249" s="793"/>
      <c r="B249" s="794"/>
      <c r="C249" s="794"/>
      <c r="D249" s="794"/>
      <c r="E249" s="795"/>
      <c r="F249" s="548" t="s">
        <v>7</v>
      </c>
      <c r="G249" s="549">
        <f>G255</f>
        <v>38669</v>
      </c>
      <c r="H249" s="549">
        <f>SUM(H255,)</f>
        <v>198803</v>
      </c>
      <c r="I249" s="549">
        <f>I255</f>
        <v>5216</v>
      </c>
      <c r="J249" s="549">
        <f>J255</f>
        <v>5216</v>
      </c>
      <c r="K249" s="549">
        <v>0</v>
      </c>
      <c r="L249" s="550">
        <f>J249/H249</f>
        <v>2.6237028616268365E-2</v>
      </c>
      <c r="M249" s="841"/>
      <c r="N249" s="842"/>
    </row>
    <row r="250" spans="1:14" x14ac:dyDescent="0.25">
      <c r="A250" s="802" t="s">
        <v>1334</v>
      </c>
      <c r="B250" s="803"/>
      <c r="C250" s="803"/>
      <c r="D250" s="803"/>
      <c r="E250" s="803"/>
      <c r="F250" s="803"/>
      <c r="G250" s="803"/>
      <c r="H250" s="803"/>
      <c r="I250" s="803"/>
      <c r="J250" s="803"/>
      <c r="K250" s="803"/>
      <c r="L250" s="803"/>
      <c r="M250" s="803"/>
      <c r="N250" s="804"/>
    </row>
    <row r="251" spans="1:14" x14ac:dyDescent="0.25">
      <c r="A251" s="823">
        <v>55</v>
      </c>
      <c r="B251" s="824" t="s">
        <v>1053</v>
      </c>
      <c r="C251" s="827" t="s">
        <v>1054</v>
      </c>
      <c r="D251" s="768" t="s">
        <v>1335</v>
      </c>
      <c r="E251" s="830" t="s">
        <v>1055</v>
      </c>
      <c r="F251" s="411" t="s">
        <v>3</v>
      </c>
      <c r="G251" s="205">
        <f>G252+G253+G254+G255</f>
        <v>38669</v>
      </c>
      <c r="H251" s="205">
        <f>H252+H253+H254+H255</f>
        <v>198803</v>
      </c>
      <c r="I251" s="205">
        <f>I252+I253+I254+I255</f>
        <v>5216</v>
      </c>
      <c r="J251" s="205">
        <f>J252+J253+J254+J255</f>
        <v>5216</v>
      </c>
      <c r="K251" s="205">
        <f>K252+K253+K254+K255</f>
        <v>0</v>
      </c>
      <c r="L251" s="552">
        <f>J251/H251</f>
        <v>2.6237028616268365E-2</v>
      </c>
      <c r="M251" s="832">
        <v>0.05</v>
      </c>
      <c r="N251" s="820" t="s">
        <v>2036</v>
      </c>
    </row>
    <row r="252" spans="1:14" x14ac:dyDescent="0.25">
      <c r="A252" s="823"/>
      <c r="B252" s="825"/>
      <c r="C252" s="828"/>
      <c r="D252" s="807"/>
      <c r="E252" s="831"/>
      <c r="F252" s="412" t="s">
        <v>181</v>
      </c>
      <c r="G252" s="138">
        <v>0</v>
      </c>
      <c r="H252" s="138">
        <v>0</v>
      </c>
      <c r="I252" s="138">
        <v>0</v>
      </c>
      <c r="J252" s="138">
        <v>0</v>
      </c>
      <c r="K252" s="413">
        <v>0</v>
      </c>
      <c r="L252" s="142">
        <v>0</v>
      </c>
      <c r="M252" s="832"/>
      <c r="N252" s="821"/>
    </row>
    <row r="253" spans="1:14" x14ac:dyDescent="0.25">
      <c r="A253" s="823"/>
      <c r="B253" s="825"/>
      <c r="C253" s="828"/>
      <c r="D253" s="807"/>
      <c r="E253" s="831"/>
      <c r="F253" s="412" t="s">
        <v>663</v>
      </c>
      <c r="G253" s="138">
        <v>0</v>
      </c>
      <c r="H253" s="138">
        <v>0</v>
      </c>
      <c r="I253" s="138">
        <v>0</v>
      </c>
      <c r="J253" s="138">
        <v>0</v>
      </c>
      <c r="K253" s="413">
        <v>0</v>
      </c>
      <c r="L253" s="142">
        <v>0</v>
      </c>
      <c r="M253" s="832"/>
      <c r="N253" s="821"/>
    </row>
    <row r="254" spans="1:14" x14ac:dyDescent="0.25">
      <c r="A254" s="823"/>
      <c r="B254" s="825"/>
      <c r="C254" s="828"/>
      <c r="D254" s="807"/>
      <c r="E254" s="831"/>
      <c r="F254" s="412" t="s">
        <v>6</v>
      </c>
      <c r="G254" s="138">
        <v>0</v>
      </c>
      <c r="H254" s="138">
        <v>0</v>
      </c>
      <c r="I254" s="138">
        <v>0</v>
      </c>
      <c r="J254" s="138">
        <v>0</v>
      </c>
      <c r="K254" s="413">
        <v>0</v>
      </c>
      <c r="L254" s="142">
        <v>0</v>
      </c>
      <c r="M254" s="832"/>
      <c r="N254" s="821"/>
    </row>
    <row r="255" spans="1:14" x14ac:dyDescent="0.25">
      <c r="A255" s="823"/>
      <c r="B255" s="826"/>
      <c r="C255" s="829"/>
      <c r="D255" s="808"/>
      <c r="E255" s="831"/>
      <c r="F255" s="412" t="s">
        <v>7</v>
      </c>
      <c r="G255" s="138">
        <v>38669</v>
      </c>
      <c r="H255" s="472">
        <v>198803</v>
      </c>
      <c r="I255" s="138">
        <v>5216</v>
      </c>
      <c r="J255" s="138">
        <v>5216</v>
      </c>
      <c r="K255" s="138">
        <v>0</v>
      </c>
      <c r="L255" s="142">
        <f>J255/H255</f>
        <v>2.6237028616268365E-2</v>
      </c>
      <c r="M255" s="832"/>
      <c r="N255" s="822"/>
    </row>
    <row r="256" spans="1:14" x14ac:dyDescent="0.25">
      <c r="A256" s="802" t="s">
        <v>2037</v>
      </c>
      <c r="B256" s="803"/>
      <c r="C256" s="803"/>
      <c r="D256" s="803"/>
      <c r="E256" s="803"/>
      <c r="F256" s="803"/>
      <c r="G256" s="803"/>
      <c r="H256" s="803"/>
      <c r="I256" s="803"/>
      <c r="J256" s="803"/>
      <c r="K256" s="803"/>
      <c r="L256" s="803"/>
      <c r="M256" s="803"/>
      <c r="N256" s="804"/>
    </row>
    <row r="257" spans="1:14" x14ac:dyDescent="0.25">
      <c r="A257" s="823">
        <v>56</v>
      </c>
      <c r="B257" s="824" t="s">
        <v>2038</v>
      </c>
      <c r="C257" s="827" t="s">
        <v>2039</v>
      </c>
      <c r="D257" s="768" t="s">
        <v>2040</v>
      </c>
      <c r="E257" s="830" t="s">
        <v>2041</v>
      </c>
      <c r="F257" s="411" t="s">
        <v>3</v>
      </c>
      <c r="G257" s="205">
        <f>G258+G259+G260+G261</f>
        <v>0</v>
      </c>
      <c r="H257" s="205">
        <f>H258+H259+H260+H261</f>
        <v>1351.96</v>
      </c>
      <c r="I257" s="205">
        <f>I258+I259+I260+I261</f>
        <v>993.36</v>
      </c>
      <c r="J257" s="205">
        <f>J258+J259+J260+J261</f>
        <v>993.36</v>
      </c>
      <c r="K257" s="205">
        <f>K258+K259+K260+K261</f>
        <v>0</v>
      </c>
      <c r="L257" s="552">
        <f>J257/H257</f>
        <v>0.73475546613805143</v>
      </c>
      <c r="M257" s="832">
        <v>1</v>
      </c>
      <c r="N257" s="812" t="s">
        <v>2042</v>
      </c>
    </row>
    <row r="258" spans="1:14" x14ac:dyDescent="0.25">
      <c r="A258" s="823"/>
      <c r="B258" s="825"/>
      <c r="C258" s="828"/>
      <c r="D258" s="807"/>
      <c r="E258" s="831"/>
      <c r="F258" s="412" t="s">
        <v>181</v>
      </c>
      <c r="G258" s="138">
        <v>0</v>
      </c>
      <c r="H258" s="541">
        <v>1351.96</v>
      </c>
      <c r="I258" s="138">
        <v>993.36</v>
      </c>
      <c r="J258" s="138">
        <v>993.36</v>
      </c>
      <c r="K258" s="413">
        <v>0</v>
      </c>
      <c r="L258" s="142">
        <f>J258/H258</f>
        <v>0.73475546613805143</v>
      </c>
      <c r="M258" s="832"/>
      <c r="N258" s="813"/>
    </row>
    <row r="259" spans="1:14" x14ac:dyDescent="0.25">
      <c r="A259" s="823"/>
      <c r="B259" s="825"/>
      <c r="C259" s="828"/>
      <c r="D259" s="807"/>
      <c r="E259" s="831"/>
      <c r="F259" s="412" t="s">
        <v>663</v>
      </c>
      <c r="G259" s="138">
        <v>0</v>
      </c>
      <c r="H259" s="138">
        <v>0</v>
      </c>
      <c r="I259" s="138">
        <v>0</v>
      </c>
      <c r="J259" s="138">
        <v>0</v>
      </c>
      <c r="K259" s="413">
        <v>0</v>
      </c>
      <c r="L259" s="142">
        <v>0</v>
      </c>
      <c r="M259" s="832"/>
      <c r="N259" s="813"/>
    </row>
    <row r="260" spans="1:14" x14ac:dyDescent="0.25">
      <c r="A260" s="823"/>
      <c r="B260" s="825"/>
      <c r="C260" s="828"/>
      <c r="D260" s="807"/>
      <c r="E260" s="831"/>
      <c r="F260" s="412" t="s">
        <v>6</v>
      </c>
      <c r="G260" s="138">
        <v>0</v>
      </c>
      <c r="H260" s="138">
        <v>0</v>
      </c>
      <c r="I260" s="138">
        <v>0</v>
      </c>
      <c r="J260" s="138">
        <v>0</v>
      </c>
      <c r="K260" s="413">
        <v>0</v>
      </c>
      <c r="L260" s="142">
        <v>0</v>
      </c>
      <c r="M260" s="832"/>
      <c r="N260" s="813"/>
    </row>
    <row r="261" spans="1:14" x14ac:dyDescent="0.25">
      <c r="A261" s="823"/>
      <c r="B261" s="826"/>
      <c r="C261" s="829"/>
      <c r="D261" s="808"/>
      <c r="E261" s="831"/>
      <c r="F261" s="412" t="s">
        <v>7</v>
      </c>
      <c r="G261" s="138">
        <v>0</v>
      </c>
      <c r="H261" s="542">
        <v>0</v>
      </c>
      <c r="I261" s="138">
        <v>0</v>
      </c>
      <c r="J261" s="138">
        <v>0</v>
      </c>
      <c r="K261" s="138">
        <v>0</v>
      </c>
      <c r="L261" s="142">
        <v>0</v>
      </c>
      <c r="M261" s="832"/>
      <c r="N261" s="814"/>
    </row>
    <row r="262" spans="1:14" ht="21" x14ac:dyDescent="0.25">
      <c r="A262" s="787" t="s">
        <v>1458</v>
      </c>
      <c r="B262" s="788"/>
      <c r="C262" s="788"/>
      <c r="D262" s="788"/>
      <c r="E262" s="789"/>
      <c r="F262" s="545" t="s">
        <v>3</v>
      </c>
      <c r="G262" s="546">
        <f>G263</f>
        <v>0</v>
      </c>
      <c r="H262" s="546">
        <f>SUM(H263:H263)</f>
        <v>25000</v>
      </c>
      <c r="I262" s="546">
        <f>SUM(I263:I263)</f>
        <v>25000</v>
      </c>
      <c r="J262" s="546">
        <f>SUM(J263:J263)</f>
        <v>25000</v>
      </c>
      <c r="K262" s="546">
        <v>0</v>
      </c>
      <c r="L262" s="547">
        <f>J262/H262</f>
        <v>1</v>
      </c>
      <c r="M262" s="796"/>
      <c r="N262" s="799"/>
    </row>
    <row r="263" spans="1:14" x14ac:dyDescent="0.25">
      <c r="A263" s="790"/>
      <c r="B263" s="791"/>
      <c r="C263" s="791"/>
      <c r="D263" s="791"/>
      <c r="E263" s="792"/>
      <c r="F263" s="548" t="s">
        <v>181</v>
      </c>
      <c r="G263" s="549">
        <f>G266</f>
        <v>0</v>
      </c>
      <c r="H263" s="549">
        <f t="shared" ref="H263:K263" si="33">H266</f>
        <v>25000</v>
      </c>
      <c r="I263" s="549">
        <f t="shared" si="33"/>
        <v>25000</v>
      </c>
      <c r="J263" s="549">
        <f t="shared" si="33"/>
        <v>25000</v>
      </c>
      <c r="K263" s="549">
        <f t="shared" si="33"/>
        <v>0</v>
      </c>
      <c r="L263" s="550">
        <f>J263/H263</f>
        <v>1</v>
      </c>
      <c r="M263" s="797"/>
      <c r="N263" s="800"/>
    </row>
    <row r="264" spans="1:14" x14ac:dyDescent="0.25">
      <c r="A264" s="802" t="s">
        <v>1459</v>
      </c>
      <c r="B264" s="803"/>
      <c r="C264" s="803"/>
      <c r="D264" s="803"/>
      <c r="E264" s="803"/>
      <c r="F264" s="803"/>
      <c r="G264" s="803"/>
      <c r="H264" s="803"/>
      <c r="I264" s="803"/>
      <c r="J264" s="803"/>
      <c r="K264" s="803"/>
      <c r="L264" s="803"/>
      <c r="M264" s="803"/>
      <c r="N264" s="804"/>
    </row>
    <row r="265" spans="1:14" x14ac:dyDescent="0.25">
      <c r="A265" s="764">
        <v>57</v>
      </c>
      <c r="B265" s="815" t="s">
        <v>1460</v>
      </c>
      <c r="C265" s="764" t="s">
        <v>1461</v>
      </c>
      <c r="D265" s="816" t="s">
        <v>1462</v>
      </c>
      <c r="E265" s="817">
        <v>25000</v>
      </c>
      <c r="F265" s="414" t="s">
        <v>3</v>
      </c>
      <c r="G265" s="383">
        <f>G266</f>
        <v>0</v>
      </c>
      <c r="H265" s="383">
        <f t="shared" ref="H265:K265" si="34">H266</f>
        <v>25000</v>
      </c>
      <c r="I265" s="383">
        <f t="shared" si="34"/>
        <v>25000</v>
      </c>
      <c r="J265" s="383">
        <f t="shared" si="34"/>
        <v>25000</v>
      </c>
      <c r="K265" s="383">
        <f t="shared" si="34"/>
        <v>0</v>
      </c>
      <c r="L265" s="551">
        <f>J265/H265</f>
        <v>1</v>
      </c>
      <c r="M265" s="811">
        <v>1</v>
      </c>
      <c r="N265" s="819" t="s">
        <v>1467</v>
      </c>
    </row>
    <row r="266" spans="1:14" ht="54.75" customHeight="1" x14ac:dyDescent="0.25">
      <c r="A266" s="764"/>
      <c r="B266" s="815"/>
      <c r="C266" s="764"/>
      <c r="D266" s="816"/>
      <c r="E266" s="818"/>
      <c r="F266" s="470" t="s">
        <v>181</v>
      </c>
      <c r="G266" s="377">
        <v>0</v>
      </c>
      <c r="H266" s="377">
        <v>25000</v>
      </c>
      <c r="I266" s="377">
        <v>25000</v>
      </c>
      <c r="J266" s="377">
        <v>25000</v>
      </c>
      <c r="K266" s="117">
        <v>0</v>
      </c>
      <c r="L266" s="543">
        <f>J266/H266</f>
        <v>1</v>
      </c>
      <c r="M266" s="806"/>
      <c r="N266" s="819"/>
    </row>
    <row r="267" spans="1:14" ht="21" x14ac:dyDescent="0.25">
      <c r="A267" s="787" t="s">
        <v>1270</v>
      </c>
      <c r="B267" s="788"/>
      <c r="C267" s="788"/>
      <c r="D267" s="788"/>
      <c r="E267" s="789"/>
      <c r="F267" s="545" t="s">
        <v>3</v>
      </c>
      <c r="G267" s="546">
        <f>SUM(G272+G277+G282+G287+G292+G297+G302)</f>
        <v>433257.4</v>
      </c>
      <c r="H267" s="546">
        <f>SUM(H272+H277+H282+H287+H292+H297+H302)</f>
        <v>2475419.2000000002</v>
      </c>
      <c r="I267" s="546">
        <f>SUM(I272+I277+I282+I287+I292+I297+I302)</f>
        <v>2397258.9</v>
      </c>
      <c r="J267" s="546">
        <f>SUM(J272+J277+J282+J287+J292+J297+J302)</f>
        <v>2397258.9</v>
      </c>
      <c r="K267" s="546">
        <v>0</v>
      </c>
      <c r="L267" s="547">
        <f>J267/H267</f>
        <v>0.96842542871122583</v>
      </c>
      <c r="M267" s="796"/>
      <c r="N267" s="799"/>
    </row>
    <row r="268" spans="1:14" x14ac:dyDescent="0.25">
      <c r="A268" s="790"/>
      <c r="B268" s="791"/>
      <c r="C268" s="791"/>
      <c r="D268" s="791"/>
      <c r="E268" s="792"/>
      <c r="F268" s="548" t="s">
        <v>181</v>
      </c>
      <c r="G268" s="549">
        <f>SUM(G278+G283+G288+G273+G293+G298+G303)</f>
        <v>351868.69999999995</v>
      </c>
      <c r="H268" s="549">
        <f>SUM(H273,H278,H283,H293,H298,H303,H288)</f>
        <v>2354564.4</v>
      </c>
      <c r="I268" s="549">
        <f>SUM(I273,I278,I293,I283,I298,I288,I303)</f>
        <v>2276404.1</v>
      </c>
      <c r="J268" s="549">
        <f>SUM(J273,J278,J293,J283,J298,J288,J303)</f>
        <v>2276404.1</v>
      </c>
      <c r="K268" s="549">
        <v>0</v>
      </c>
      <c r="L268" s="550">
        <f>J268/H268</f>
        <v>0.96680477289132549</v>
      </c>
      <c r="M268" s="797"/>
      <c r="N268" s="800"/>
    </row>
    <row r="269" spans="1:14" x14ac:dyDescent="0.25">
      <c r="A269" s="790"/>
      <c r="B269" s="791"/>
      <c r="C269" s="791"/>
      <c r="D269" s="791"/>
      <c r="E269" s="792"/>
      <c r="F269" s="548" t="s">
        <v>663</v>
      </c>
      <c r="G269" s="549">
        <f>SUM(G274+G279+G284+G289+G294+G299+G304)</f>
        <v>81388.7</v>
      </c>
      <c r="H269" s="549">
        <f>SUM(H274+H279+H284+H289+H294+H299+H304)</f>
        <v>120854.8</v>
      </c>
      <c r="I269" s="549">
        <f>SUM(I279,I274,I284,I289,I294,I299,I304)</f>
        <v>120854.8</v>
      </c>
      <c r="J269" s="549">
        <f>SUM(J279,J274,J284,J289,J294,J299,J304)</f>
        <v>120854.8</v>
      </c>
      <c r="K269" s="549">
        <v>0</v>
      </c>
      <c r="L269" s="550">
        <f>J269/H269</f>
        <v>1</v>
      </c>
      <c r="M269" s="797"/>
      <c r="N269" s="800"/>
    </row>
    <row r="270" spans="1:14" x14ac:dyDescent="0.25">
      <c r="A270" s="793"/>
      <c r="B270" s="794"/>
      <c r="C270" s="794"/>
      <c r="D270" s="794"/>
      <c r="E270" s="795"/>
      <c r="F270" s="548" t="s">
        <v>6</v>
      </c>
      <c r="G270" s="549">
        <v>0</v>
      </c>
      <c r="H270" s="549">
        <v>0</v>
      </c>
      <c r="I270" s="549">
        <v>0</v>
      </c>
      <c r="J270" s="549">
        <v>0</v>
      </c>
      <c r="K270" s="549">
        <v>0</v>
      </c>
      <c r="L270" s="550">
        <v>0</v>
      </c>
      <c r="M270" s="798"/>
      <c r="N270" s="801"/>
    </row>
    <row r="271" spans="1:14" x14ac:dyDescent="0.25">
      <c r="A271" s="802" t="s">
        <v>662</v>
      </c>
      <c r="B271" s="803"/>
      <c r="C271" s="803"/>
      <c r="D271" s="803"/>
      <c r="E271" s="803"/>
      <c r="F271" s="803"/>
      <c r="G271" s="803"/>
      <c r="H271" s="803"/>
      <c r="I271" s="803"/>
      <c r="J271" s="803"/>
      <c r="K271" s="803"/>
      <c r="L271" s="803"/>
      <c r="M271" s="803"/>
      <c r="N271" s="804"/>
    </row>
    <row r="272" spans="1:14" x14ac:dyDescent="0.25">
      <c r="A272" s="764">
        <v>58</v>
      </c>
      <c r="B272" s="805" t="s">
        <v>661</v>
      </c>
      <c r="C272" s="806" t="s">
        <v>1056</v>
      </c>
      <c r="D272" s="768" t="s">
        <v>2043</v>
      </c>
      <c r="E272" s="781" t="s">
        <v>41</v>
      </c>
      <c r="F272" s="470" t="s">
        <v>3</v>
      </c>
      <c r="G272" s="377">
        <f>G273+G274+G275+G276</f>
        <v>0</v>
      </c>
      <c r="H272" s="377">
        <f t="shared" ref="H272:K272" si="35">SUM(H273:H276)</f>
        <v>72113.2</v>
      </c>
      <c r="I272" s="377">
        <f t="shared" si="35"/>
        <v>49551.7</v>
      </c>
      <c r="J272" s="377">
        <f t="shared" si="35"/>
        <v>49551.7</v>
      </c>
      <c r="K272" s="377">
        <f t="shared" si="35"/>
        <v>0</v>
      </c>
      <c r="L272" s="544">
        <f>J272/H272</f>
        <v>0.68713772235873594</v>
      </c>
      <c r="M272" s="811" t="s">
        <v>41</v>
      </c>
      <c r="N272" s="812" t="s">
        <v>2044</v>
      </c>
    </row>
    <row r="273" spans="1:14" x14ac:dyDescent="0.25">
      <c r="A273" s="764"/>
      <c r="B273" s="805"/>
      <c r="C273" s="806"/>
      <c r="D273" s="807"/>
      <c r="E273" s="809"/>
      <c r="F273" s="470" t="s">
        <v>181</v>
      </c>
      <c r="G273" s="377">
        <v>0</v>
      </c>
      <c r="H273" s="377">
        <v>72113.2</v>
      </c>
      <c r="I273" s="117">
        <v>49551.7</v>
      </c>
      <c r="J273" s="117">
        <v>49551.7</v>
      </c>
      <c r="K273" s="117">
        <v>0</v>
      </c>
      <c r="L273" s="543">
        <f>J273/H273</f>
        <v>0.68713772235873594</v>
      </c>
      <c r="M273" s="806"/>
      <c r="N273" s="813"/>
    </row>
    <row r="274" spans="1:14" x14ac:dyDescent="0.25">
      <c r="A274" s="764"/>
      <c r="B274" s="805"/>
      <c r="C274" s="806"/>
      <c r="D274" s="807"/>
      <c r="E274" s="809"/>
      <c r="F274" s="470" t="s">
        <v>663</v>
      </c>
      <c r="G274" s="377">
        <v>0</v>
      </c>
      <c r="H274" s="117">
        <v>0</v>
      </c>
      <c r="I274" s="117">
        <v>0</v>
      </c>
      <c r="J274" s="117">
        <v>0</v>
      </c>
      <c r="K274" s="117">
        <v>0</v>
      </c>
      <c r="L274" s="536">
        <v>0</v>
      </c>
      <c r="M274" s="806"/>
      <c r="N274" s="813"/>
    </row>
    <row r="275" spans="1:14" x14ac:dyDescent="0.25">
      <c r="A275" s="764"/>
      <c r="B275" s="805"/>
      <c r="C275" s="806"/>
      <c r="D275" s="807"/>
      <c r="E275" s="809"/>
      <c r="F275" s="470" t="s">
        <v>6</v>
      </c>
      <c r="G275" s="377">
        <v>0</v>
      </c>
      <c r="H275" s="117">
        <v>0</v>
      </c>
      <c r="I275" s="117">
        <v>0</v>
      </c>
      <c r="J275" s="117">
        <v>0</v>
      </c>
      <c r="K275" s="117">
        <v>0</v>
      </c>
      <c r="L275" s="536">
        <v>0</v>
      </c>
      <c r="M275" s="806"/>
      <c r="N275" s="813"/>
    </row>
    <row r="276" spans="1:14" x14ac:dyDescent="0.25">
      <c r="A276" s="764"/>
      <c r="B276" s="805"/>
      <c r="C276" s="806"/>
      <c r="D276" s="808"/>
      <c r="E276" s="810"/>
      <c r="F276" s="470" t="s">
        <v>7</v>
      </c>
      <c r="G276" s="377">
        <v>0</v>
      </c>
      <c r="H276" s="117">
        <v>0</v>
      </c>
      <c r="I276" s="117">
        <v>0</v>
      </c>
      <c r="J276" s="117">
        <v>0</v>
      </c>
      <c r="K276" s="117">
        <v>0</v>
      </c>
      <c r="L276" s="536">
        <v>0</v>
      </c>
      <c r="M276" s="806"/>
      <c r="N276" s="814"/>
    </row>
    <row r="277" spans="1:14" x14ac:dyDescent="0.25">
      <c r="A277" s="764">
        <v>59</v>
      </c>
      <c r="B277" s="765" t="s">
        <v>1336</v>
      </c>
      <c r="C277" s="768" t="s">
        <v>1337</v>
      </c>
      <c r="D277" s="771" t="s">
        <v>1338</v>
      </c>
      <c r="E277" s="772">
        <v>1240260.6000000001</v>
      </c>
      <c r="F277" s="198" t="s">
        <v>3</v>
      </c>
      <c r="G277" s="415">
        <f>SUM(G278:G281)</f>
        <v>273079.2</v>
      </c>
      <c r="H277" s="415">
        <f t="shared" ref="H277:J277" si="36">SUM(H278:H281)</f>
        <v>416170.5</v>
      </c>
      <c r="I277" s="415">
        <f t="shared" si="36"/>
        <v>406780.2</v>
      </c>
      <c r="J277" s="415">
        <f t="shared" si="36"/>
        <v>406780.2</v>
      </c>
      <c r="K277" s="415">
        <v>0</v>
      </c>
      <c r="L277" s="544">
        <f t="shared" ref="L277" si="37">J277/H277</f>
        <v>0.97743641127855052</v>
      </c>
      <c r="M277" s="773">
        <v>0.55000000000000004</v>
      </c>
      <c r="N277" s="784" t="s">
        <v>2045</v>
      </c>
    </row>
    <row r="278" spans="1:14" x14ac:dyDescent="0.25">
      <c r="A278" s="764"/>
      <c r="B278" s="766"/>
      <c r="C278" s="769"/>
      <c r="D278" s="771"/>
      <c r="E278" s="772"/>
      <c r="F278" s="198" t="s">
        <v>181</v>
      </c>
      <c r="G278" s="415">
        <v>191690.5</v>
      </c>
      <c r="H278" s="415">
        <v>416170.5</v>
      </c>
      <c r="I278" s="415">
        <v>406780.2</v>
      </c>
      <c r="J278" s="415">
        <v>406780.2</v>
      </c>
      <c r="K278" s="415">
        <v>0</v>
      </c>
      <c r="L278" s="544">
        <f>J278/H278</f>
        <v>0.97743641127855052</v>
      </c>
      <c r="M278" s="773"/>
      <c r="N278" s="785"/>
    </row>
    <row r="279" spans="1:14" x14ac:dyDescent="0.25">
      <c r="A279" s="764"/>
      <c r="B279" s="766"/>
      <c r="C279" s="769"/>
      <c r="D279" s="771"/>
      <c r="E279" s="772"/>
      <c r="F279" s="198" t="s">
        <v>663</v>
      </c>
      <c r="G279" s="415">
        <v>81388.7</v>
      </c>
      <c r="H279" s="415">
        <v>0</v>
      </c>
      <c r="I279" s="415">
        <v>0</v>
      </c>
      <c r="J279" s="415">
        <v>0</v>
      </c>
      <c r="K279" s="415">
        <v>0</v>
      </c>
      <c r="L279" s="544">
        <v>0</v>
      </c>
      <c r="M279" s="773"/>
      <c r="N279" s="785"/>
    </row>
    <row r="280" spans="1:14" x14ac:dyDescent="0.25">
      <c r="A280" s="764"/>
      <c r="B280" s="766"/>
      <c r="C280" s="769"/>
      <c r="D280" s="771"/>
      <c r="E280" s="772"/>
      <c r="F280" s="198" t="s">
        <v>6</v>
      </c>
      <c r="G280" s="415">
        <v>0</v>
      </c>
      <c r="H280" s="415">
        <v>0</v>
      </c>
      <c r="I280" s="415">
        <v>0</v>
      </c>
      <c r="J280" s="415">
        <v>0</v>
      </c>
      <c r="K280" s="415">
        <v>0</v>
      </c>
      <c r="L280" s="544">
        <v>0</v>
      </c>
      <c r="M280" s="773"/>
      <c r="N280" s="785"/>
    </row>
    <row r="281" spans="1:14" x14ac:dyDescent="0.25">
      <c r="A281" s="764"/>
      <c r="B281" s="767"/>
      <c r="C281" s="770"/>
      <c r="D281" s="771"/>
      <c r="E281" s="772"/>
      <c r="F281" s="198" t="s">
        <v>7</v>
      </c>
      <c r="G281" s="415">
        <v>0</v>
      </c>
      <c r="H281" s="415">
        <f>SUM(J311:J314)</f>
        <v>0</v>
      </c>
      <c r="I281" s="415">
        <f>SUM(I311:I314)</f>
        <v>0</v>
      </c>
      <c r="J281" s="415">
        <v>0</v>
      </c>
      <c r="K281" s="415">
        <f>SUM(M311:M314)</f>
        <v>0</v>
      </c>
      <c r="L281" s="544">
        <v>0</v>
      </c>
      <c r="M281" s="773"/>
      <c r="N281" s="786"/>
    </row>
    <row r="282" spans="1:14" x14ac:dyDescent="0.25">
      <c r="A282" s="764">
        <v>60</v>
      </c>
      <c r="B282" s="765" t="s">
        <v>1339</v>
      </c>
      <c r="C282" s="768" t="s">
        <v>1337</v>
      </c>
      <c r="D282" s="771" t="s">
        <v>1341</v>
      </c>
      <c r="E282" s="772">
        <v>367750.3</v>
      </c>
      <c r="F282" s="198" t="s">
        <v>3</v>
      </c>
      <c r="G282" s="415">
        <f>SUM(G283:G286)</f>
        <v>115473.60000000001</v>
      </c>
      <c r="H282" s="415">
        <f>SUM(H283:H286)</f>
        <v>252276.8</v>
      </c>
      <c r="I282" s="415">
        <f t="shared" ref="I282:K282" si="38">SUM(I283:I286)</f>
        <v>251844.6</v>
      </c>
      <c r="J282" s="415">
        <f t="shared" si="38"/>
        <v>251844.6</v>
      </c>
      <c r="K282" s="415">
        <f t="shared" si="38"/>
        <v>0</v>
      </c>
      <c r="L282" s="544">
        <f t="shared" ref="L282:L283" si="39">J282/H282</f>
        <v>0.99828680243288337</v>
      </c>
      <c r="M282" s="773">
        <v>1</v>
      </c>
      <c r="N282" s="774" t="s">
        <v>2046</v>
      </c>
    </row>
    <row r="283" spans="1:14" x14ac:dyDescent="0.25">
      <c r="A283" s="764"/>
      <c r="B283" s="766"/>
      <c r="C283" s="769"/>
      <c r="D283" s="771"/>
      <c r="E283" s="772"/>
      <c r="F283" s="198" t="s">
        <v>181</v>
      </c>
      <c r="G283" s="415">
        <v>115473.60000000001</v>
      </c>
      <c r="H283" s="415">
        <v>252276.8</v>
      </c>
      <c r="I283" s="415">
        <v>251844.6</v>
      </c>
      <c r="J283" s="415">
        <f>I283</f>
        <v>251844.6</v>
      </c>
      <c r="K283" s="415">
        <v>0</v>
      </c>
      <c r="L283" s="544">
        <f t="shared" si="39"/>
        <v>0.99828680243288337</v>
      </c>
      <c r="M283" s="773"/>
      <c r="N283" s="775"/>
    </row>
    <row r="284" spans="1:14" x14ac:dyDescent="0.25">
      <c r="A284" s="764"/>
      <c r="B284" s="766"/>
      <c r="C284" s="769"/>
      <c r="D284" s="771"/>
      <c r="E284" s="772"/>
      <c r="F284" s="198" t="s">
        <v>663</v>
      </c>
      <c r="G284" s="415">
        <v>0</v>
      </c>
      <c r="H284" s="415">
        <v>0</v>
      </c>
      <c r="I284" s="415">
        <v>0</v>
      </c>
      <c r="J284" s="415">
        <v>0</v>
      </c>
      <c r="K284" s="415">
        <v>0</v>
      </c>
      <c r="L284" s="544">
        <v>0</v>
      </c>
      <c r="M284" s="773"/>
      <c r="N284" s="775"/>
    </row>
    <row r="285" spans="1:14" x14ac:dyDescent="0.25">
      <c r="A285" s="764"/>
      <c r="B285" s="766"/>
      <c r="C285" s="769"/>
      <c r="D285" s="771"/>
      <c r="E285" s="772"/>
      <c r="F285" s="198" t="s">
        <v>6</v>
      </c>
      <c r="G285" s="415">
        <v>0</v>
      </c>
      <c r="H285" s="415">
        <v>0</v>
      </c>
      <c r="I285" s="415">
        <v>0</v>
      </c>
      <c r="J285" s="415">
        <v>0</v>
      </c>
      <c r="K285" s="415">
        <v>0</v>
      </c>
      <c r="L285" s="544">
        <v>0</v>
      </c>
      <c r="M285" s="773"/>
      <c r="N285" s="775"/>
    </row>
    <row r="286" spans="1:14" x14ac:dyDescent="0.25">
      <c r="A286" s="764"/>
      <c r="B286" s="767"/>
      <c r="C286" s="770"/>
      <c r="D286" s="771"/>
      <c r="E286" s="772"/>
      <c r="F286" s="198" t="s">
        <v>7</v>
      </c>
      <c r="G286" s="415">
        <f>SUM(H311:H314)</f>
        <v>0</v>
      </c>
      <c r="H286" s="415">
        <f>SUM(J311:J314)</f>
        <v>0</v>
      </c>
      <c r="I286" s="415">
        <f>SUM(K311:K314)</f>
        <v>0</v>
      </c>
      <c r="J286" s="415">
        <f>SUM(L311:L314)</f>
        <v>0</v>
      </c>
      <c r="K286" s="415">
        <f>SUM(M311:M314)</f>
        <v>0</v>
      </c>
      <c r="L286" s="544">
        <v>0</v>
      </c>
      <c r="M286" s="773"/>
      <c r="N286" s="776"/>
    </row>
    <row r="287" spans="1:14" x14ac:dyDescent="0.25">
      <c r="A287" s="764">
        <v>61</v>
      </c>
      <c r="B287" s="765" t="s">
        <v>2047</v>
      </c>
      <c r="C287" s="768" t="s">
        <v>1337</v>
      </c>
      <c r="D287" s="771" t="s">
        <v>2048</v>
      </c>
      <c r="E287" s="772">
        <v>120960</v>
      </c>
      <c r="F287" s="198" t="s">
        <v>3</v>
      </c>
      <c r="G287" s="415">
        <v>0</v>
      </c>
      <c r="H287" s="415">
        <f>SUM(H288:H291)</f>
        <v>80448.600000000006</v>
      </c>
      <c r="I287" s="415">
        <f t="shared" ref="I287:K287" si="40">SUM(I288:I291)</f>
        <v>79556.3</v>
      </c>
      <c r="J287" s="415">
        <f t="shared" si="40"/>
        <v>79556.3</v>
      </c>
      <c r="K287" s="415">
        <f t="shared" si="40"/>
        <v>0</v>
      </c>
      <c r="L287" s="544">
        <f t="shared" ref="L287:L288" si="41">J287/H287</f>
        <v>0.98890844588967364</v>
      </c>
      <c r="M287" s="773">
        <v>0.66</v>
      </c>
      <c r="N287" s="784" t="s">
        <v>2049</v>
      </c>
    </row>
    <row r="288" spans="1:14" x14ac:dyDescent="0.25">
      <c r="A288" s="764"/>
      <c r="B288" s="766"/>
      <c r="C288" s="769"/>
      <c r="D288" s="771"/>
      <c r="E288" s="772"/>
      <c r="F288" s="198" t="s">
        <v>181</v>
      </c>
      <c r="G288" s="415">
        <v>0</v>
      </c>
      <c r="H288" s="415">
        <v>6922.8</v>
      </c>
      <c r="I288" s="415">
        <v>6030.5</v>
      </c>
      <c r="J288" s="415">
        <v>6030.5</v>
      </c>
      <c r="K288" s="415">
        <v>0</v>
      </c>
      <c r="L288" s="544">
        <f t="shared" si="41"/>
        <v>0.87110706650488234</v>
      </c>
      <c r="M288" s="773"/>
      <c r="N288" s="785"/>
    </row>
    <row r="289" spans="1:14" x14ac:dyDescent="0.25">
      <c r="A289" s="764"/>
      <c r="B289" s="766"/>
      <c r="C289" s="769"/>
      <c r="D289" s="771"/>
      <c r="E289" s="772"/>
      <c r="F289" s="198" t="s">
        <v>663</v>
      </c>
      <c r="G289" s="415">
        <v>0</v>
      </c>
      <c r="H289" s="415">
        <v>73525.8</v>
      </c>
      <c r="I289" s="415">
        <v>73525.8</v>
      </c>
      <c r="J289" s="415">
        <v>73525.8</v>
      </c>
      <c r="K289" s="415">
        <v>0</v>
      </c>
      <c r="L289" s="544">
        <f>J289/H289</f>
        <v>1</v>
      </c>
      <c r="M289" s="773"/>
      <c r="N289" s="785"/>
    </row>
    <row r="290" spans="1:14" x14ac:dyDescent="0.25">
      <c r="A290" s="764"/>
      <c r="B290" s="766"/>
      <c r="C290" s="769"/>
      <c r="D290" s="771"/>
      <c r="E290" s="772"/>
      <c r="F290" s="198" t="s">
        <v>6</v>
      </c>
      <c r="G290" s="415">
        <v>0</v>
      </c>
      <c r="H290" s="415">
        <v>0</v>
      </c>
      <c r="I290" s="415">
        <v>0</v>
      </c>
      <c r="J290" s="415">
        <v>0</v>
      </c>
      <c r="K290" s="415">
        <v>0</v>
      </c>
      <c r="L290" s="544">
        <v>0</v>
      </c>
      <c r="M290" s="773"/>
      <c r="N290" s="785"/>
    </row>
    <row r="291" spans="1:14" x14ac:dyDescent="0.25">
      <c r="A291" s="764"/>
      <c r="B291" s="767"/>
      <c r="C291" s="770"/>
      <c r="D291" s="771"/>
      <c r="E291" s="772"/>
      <c r="F291" s="198" t="s">
        <v>7</v>
      </c>
      <c r="G291" s="415">
        <v>0</v>
      </c>
      <c r="H291" s="415">
        <v>0</v>
      </c>
      <c r="I291" s="415">
        <f>SUM(K301:K309)</f>
        <v>0</v>
      </c>
      <c r="J291" s="415">
        <v>0</v>
      </c>
      <c r="K291" s="415">
        <v>0</v>
      </c>
      <c r="L291" s="544">
        <v>0</v>
      </c>
      <c r="M291" s="773"/>
      <c r="N291" s="786"/>
    </row>
    <row r="292" spans="1:14" x14ac:dyDescent="0.25">
      <c r="A292" s="764">
        <v>62</v>
      </c>
      <c r="B292" s="765" t="s">
        <v>1340</v>
      </c>
      <c r="C292" s="768" t="s">
        <v>1337</v>
      </c>
      <c r="D292" s="780" t="s">
        <v>1341</v>
      </c>
      <c r="E292" s="781">
        <v>102603.5</v>
      </c>
      <c r="F292" s="198" t="s">
        <v>3</v>
      </c>
      <c r="G292" s="415">
        <f>SUM(G293:G296)</f>
        <v>44704.6</v>
      </c>
      <c r="H292" s="415">
        <f>SUM(H293:H296)</f>
        <v>57898.8</v>
      </c>
      <c r="I292" s="415">
        <f t="shared" ref="I292:K292" si="42">SUM(I293:I296)</f>
        <v>57898.8</v>
      </c>
      <c r="J292" s="415">
        <f t="shared" si="42"/>
        <v>57898.8</v>
      </c>
      <c r="K292" s="415">
        <f t="shared" si="42"/>
        <v>0</v>
      </c>
      <c r="L292" s="544">
        <f t="shared" ref="L292:L293" si="43">J292/H292</f>
        <v>1</v>
      </c>
      <c r="M292" s="773">
        <v>1</v>
      </c>
      <c r="N292" s="774" t="s">
        <v>2046</v>
      </c>
    </row>
    <row r="293" spans="1:14" x14ac:dyDescent="0.25">
      <c r="A293" s="764"/>
      <c r="B293" s="766"/>
      <c r="C293" s="769"/>
      <c r="D293" s="769"/>
      <c r="E293" s="782"/>
      <c r="F293" s="198" t="s">
        <v>181</v>
      </c>
      <c r="G293" s="415">
        <v>44704.6</v>
      </c>
      <c r="H293" s="415">
        <v>57898.8</v>
      </c>
      <c r="I293" s="415">
        <v>57898.8</v>
      </c>
      <c r="J293" s="415">
        <v>57898.8</v>
      </c>
      <c r="K293" s="415">
        <v>0</v>
      </c>
      <c r="L293" s="544">
        <f t="shared" si="43"/>
        <v>1</v>
      </c>
      <c r="M293" s="773"/>
      <c r="N293" s="775"/>
    </row>
    <row r="294" spans="1:14" x14ac:dyDescent="0.25">
      <c r="A294" s="764"/>
      <c r="B294" s="766"/>
      <c r="C294" s="769"/>
      <c r="D294" s="769"/>
      <c r="E294" s="782"/>
      <c r="F294" s="198" t="s">
        <v>663</v>
      </c>
      <c r="G294" s="415">
        <v>0</v>
      </c>
      <c r="H294" s="415">
        <v>0</v>
      </c>
      <c r="I294" s="415">
        <v>0</v>
      </c>
      <c r="J294" s="415">
        <v>0</v>
      </c>
      <c r="K294" s="415">
        <v>0</v>
      </c>
      <c r="L294" s="544">
        <v>0</v>
      </c>
      <c r="M294" s="773"/>
      <c r="N294" s="775"/>
    </row>
    <row r="295" spans="1:14" x14ac:dyDescent="0.25">
      <c r="A295" s="764"/>
      <c r="B295" s="766"/>
      <c r="C295" s="769"/>
      <c r="D295" s="769"/>
      <c r="E295" s="782"/>
      <c r="F295" s="198" t="s">
        <v>6</v>
      </c>
      <c r="G295" s="415">
        <v>0</v>
      </c>
      <c r="H295" s="415">
        <v>0</v>
      </c>
      <c r="I295" s="415">
        <v>0</v>
      </c>
      <c r="J295" s="415">
        <v>0</v>
      </c>
      <c r="K295" s="415">
        <v>0</v>
      </c>
      <c r="L295" s="544">
        <v>0</v>
      </c>
      <c r="M295" s="773"/>
      <c r="N295" s="775"/>
    </row>
    <row r="296" spans="1:14" x14ac:dyDescent="0.25">
      <c r="A296" s="764"/>
      <c r="B296" s="767"/>
      <c r="C296" s="770"/>
      <c r="D296" s="770"/>
      <c r="E296" s="783"/>
      <c r="F296" s="198" t="s">
        <v>7</v>
      </c>
      <c r="G296" s="415">
        <f>SUM(H311:H314)</f>
        <v>0</v>
      </c>
      <c r="H296" s="415">
        <f>SUM(J311:J314)</f>
        <v>0</v>
      </c>
      <c r="I296" s="415">
        <f>SUM(K311:K314)</f>
        <v>0</v>
      </c>
      <c r="J296" s="415">
        <f>SUM(L311:L314)</f>
        <v>0</v>
      </c>
      <c r="K296" s="415">
        <f>SUM(M311:M314)</f>
        <v>0</v>
      </c>
      <c r="L296" s="544">
        <v>0</v>
      </c>
      <c r="M296" s="773"/>
      <c r="N296" s="776"/>
    </row>
    <row r="297" spans="1:14" x14ac:dyDescent="0.25">
      <c r="A297" s="764">
        <v>63</v>
      </c>
      <c r="B297" s="765" t="s">
        <v>2050</v>
      </c>
      <c r="C297" s="768" t="s">
        <v>1337</v>
      </c>
      <c r="D297" s="771" t="s">
        <v>2048</v>
      </c>
      <c r="E297" s="772">
        <v>171554.4</v>
      </c>
      <c r="F297" s="198" t="s">
        <v>3</v>
      </c>
      <c r="G297" s="415">
        <f>SUM(G298:G301)</f>
        <v>0</v>
      </c>
      <c r="H297" s="204">
        <f>SUM(H298:H300)</f>
        <v>51511.3</v>
      </c>
      <c r="I297" s="415">
        <f>SUM(I298:I301)</f>
        <v>51305.9</v>
      </c>
      <c r="J297" s="415">
        <f>SUM(J298:J301)</f>
        <v>51305.9</v>
      </c>
      <c r="K297" s="415">
        <f>SUM(K298:K301)</f>
        <v>0</v>
      </c>
      <c r="L297" s="544">
        <f t="shared" ref="L297:L298" si="44">J297/H297</f>
        <v>0.99601252540704655</v>
      </c>
      <c r="M297" s="773">
        <v>0.3</v>
      </c>
      <c r="N297" s="777" t="s">
        <v>2054</v>
      </c>
    </row>
    <row r="298" spans="1:14" x14ac:dyDescent="0.25">
      <c r="A298" s="764"/>
      <c r="B298" s="766"/>
      <c r="C298" s="769"/>
      <c r="D298" s="771"/>
      <c r="E298" s="772"/>
      <c r="F298" s="198" t="s">
        <v>181</v>
      </c>
      <c r="G298" s="415">
        <v>0</v>
      </c>
      <c r="H298" s="204">
        <v>4182.3</v>
      </c>
      <c r="I298" s="415">
        <v>3976.9</v>
      </c>
      <c r="J298" s="415">
        <v>3976.9</v>
      </c>
      <c r="K298" s="415">
        <v>0</v>
      </c>
      <c r="L298" s="544">
        <f t="shared" si="44"/>
        <v>0.95088826722138531</v>
      </c>
      <c r="M298" s="773"/>
      <c r="N298" s="778"/>
    </row>
    <row r="299" spans="1:14" x14ac:dyDescent="0.25">
      <c r="A299" s="764"/>
      <c r="B299" s="766"/>
      <c r="C299" s="769"/>
      <c r="D299" s="771"/>
      <c r="E299" s="772"/>
      <c r="F299" s="198" t="s">
        <v>663</v>
      </c>
      <c r="G299" s="415">
        <v>0</v>
      </c>
      <c r="H299" s="415">
        <v>47329</v>
      </c>
      <c r="I299" s="415">
        <v>47329</v>
      </c>
      <c r="J299" s="415">
        <v>47329</v>
      </c>
      <c r="K299" s="415">
        <v>0</v>
      </c>
      <c r="L299" s="544">
        <f>J299/H299</f>
        <v>1</v>
      </c>
      <c r="M299" s="773"/>
      <c r="N299" s="778"/>
    </row>
    <row r="300" spans="1:14" x14ac:dyDescent="0.25">
      <c r="A300" s="764"/>
      <c r="B300" s="766"/>
      <c r="C300" s="769"/>
      <c r="D300" s="771"/>
      <c r="E300" s="772"/>
      <c r="F300" s="198" t="s">
        <v>6</v>
      </c>
      <c r="G300" s="415">
        <v>0</v>
      </c>
      <c r="H300" s="415">
        <v>0</v>
      </c>
      <c r="I300" s="415">
        <v>0</v>
      </c>
      <c r="J300" s="415">
        <v>0</v>
      </c>
      <c r="K300" s="415">
        <v>0</v>
      </c>
      <c r="L300" s="544">
        <v>0</v>
      </c>
      <c r="M300" s="773"/>
      <c r="N300" s="778"/>
    </row>
    <row r="301" spans="1:14" x14ac:dyDescent="0.25">
      <c r="A301" s="764"/>
      <c r="B301" s="767"/>
      <c r="C301" s="770"/>
      <c r="D301" s="771"/>
      <c r="E301" s="772"/>
      <c r="F301" s="198" t="s">
        <v>7</v>
      </c>
      <c r="G301" s="415">
        <v>0</v>
      </c>
      <c r="H301" s="415">
        <f>SUM(J325:J326)</f>
        <v>0</v>
      </c>
      <c r="I301" s="415">
        <f>SUM(K325:K326)</f>
        <v>0</v>
      </c>
      <c r="J301" s="415">
        <f>SUM(L325:L326)</f>
        <v>0</v>
      </c>
      <c r="K301" s="415">
        <f>SUM(M325:M326)</f>
        <v>0</v>
      </c>
      <c r="L301" s="544">
        <v>0</v>
      </c>
      <c r="M301" s="773"/>
      <c r="N301" s="779"/>
    </row>
    <row r="302" spans="1:14" x14ac:dyDescent="0.25">
      <c r="A302" s="764">
        <v>64</v>
      </c>
      <c r="B302" s="765" t="s">
        <v>2051</v>
      </c>
      <c r="C302" s="768" t="s">
        <v>1337</v>
      </c>
      <c r="D302" s="771" t="s">
        <v>2052</v>
      </c>
      <c r="E302" s="772">
        <v>7735066.5999999996</v>
      </c>
      <c r="F302" s="198" t="s">
        <v>3</v>
      </c>
      <c r="G302" s="415">
        <f>SUM(G303:G306)</f>
        <v>0</v>
      </c>
      <c r="H302" s="204">
        <f>SUM(H303:H305)</f>
        <v>1545000</v>
      </c>
      <c r="I302" s="415">
        <f>SUM(I303:I306)</f>
        <v>1500321.4</v>
      </c>
      <c r="J302" s="415">
        <f>SUM(J303:J306)</f>
        <v>1500321.4</v>
      </c>
      <c r="K302" s="415">
        <f>SUM(K303:K306)</f>
        <v>0</v>
      </c>
      <c r="L302" s="544">
        <f t="shared" ref="L302:L303" si="45">J302/H302</f>
        <v>0.9710818122977346</v>
      </c>
      <c r="M302" s="773">
        <v>0.19</v>
      </c>
      <c r="N302" s="752" t="s">
        <v>2053</v>
      </c>
    </row>
    <row r="303" spans="1:14" x14ac:dyDescent="0.25">
      <c r="A303" s="764"/>
      <c r="B303" s="766"/>
      <c r="C303" s="769"/>
      <c r="D303" s="771"/>
      <c r="E303" s="772"/>
      <c r="F303" s="198" t="s">
        <v>181</v>
      </c>
      <c r="G303" s="415">
        <v>0</v>
      </c>
      <c r="H303" s="204">
        <v>1545000</v>
      </c>
      <c r="I303" s="204">
        <v>1500321.4</v>
      </c>
      <c r="J303" s="204">
        <v>1500321.4</v>
      </c>
      <c r="K303" s="415">
        <f>SUM(K304:K331)</f>
        <v>0</v>
      </c>
      <c r="L303" s="544">
        <f t="shared" si="45"/>
        <v>0.9710818122977346</v>
      </c>
      <c r="M303" s="773"/>
      <c r="N303" s="753"/>
    </row>
    <row r="304" spans="1:14" x14ac:dyDescent="0.25">
      <c r="A304" s="764"/>
      <c r="B304" s="766"/>
      <c r="C304" s="769"/>
      <c r="D304" s="771"/>
      <c r="E304" s="772"/>
      <c r="F304" s="198" t="s">
        <v>663</v>
      </c>
      <c r="G304" s="415">
        <v>0</v>
      </c>
      <c r="H304" s="415">
        <v>0</v>
      </c>
      <c r="I304" s="415">
        <v>0</v>
      </c>
      <c r="J304" s="415">
        <v>0</v>
      </c>
      <c r="K304" s="415">
        <f>SUM(M305:M329)</f>
        <v>0</v>
      </c>
      <c r="L304" s="544">
        <v>0</v>
      </c>
      <c r="M304" s="773"/>
      <c r="N304" s="753"/>
    </row>
    <row r="305" spans="1:14" x14ac:dyDescent="0.25">
      <c r="A305" s="764"/>
      <c r="B305" s="766"/>
      <c r="C305" s="769"/>
      <c r="D305" s="771"/>
      <c r="E305" s="772"/>
      <c r="F305" s="198" t="s">
        <v>6</v>
      </c>
      <c r="G305" s="415">
        <v>0</v>
      </c>
      <c r="H305" s="415">
        <v>0</v>
      </c>
      <c r="I305" s="415">
        <v>0</v>
      </c>
      <c r="J305" s="415">
        <v>0</v>
      </c>
      <c r="K305" s="415">
        <f>SUM(M306:M330)</f>
        <v>0</v>
      </c>
      <c r="L305" s="544">
        <v>0</v>
      </c>
      <c r="M305" s="773"/>
      <c r="N305" s="753"/>
    </row>
    <row r="306" spans="1:14" x14ac:dyDescent="0.25">
      <c r="A306" s="764"/>
      <c r="B306" s="767"/>
      <c r="C306" s="770"/>
      <c r="D306" s="771"/>
      <c r="E306" s="772"/>
      <c r="F306" s="198" t="s">
        <v>7</v>
      </c>
      <c r="G306" s="415">
        <v>0</v>
      </c>
      <c r="H306" s="415">
        <f>SUM(J330:J331)</f>
        <v>0</v>
      </c>
      <c r="I306" s="415">
        <f>SUM(K330:K331)</f>
        <v>0</v>
      </c>
      <c r="J306" s="415">
        <f>SUM(L330:L331)</f>
        <v>0</v>
      </c>
      <c r="K306" s="415">
        <f>SUM(M330:M331)</f>
        <v>0</v>
      </c>
      <c r="L306" s="544">
        <v>0</v>
      </c>
      <c r="M306" s="773"/>
      <c r="N306" s="754"/>
    </row>
  </sheetData>
  <mergeCells count="501">
    <mergeCell ref="A2:N2"/>
    <mergeCell ref="A3:A4"/>
    <mergeCell ref="B3:B4"/>
    <mergeCell ref="C3:C4"/>
    <mergeCell ref="D3:D4"/>
    <mergeCell ref="E3:E4"/>
    <mergeCell ref="F3:F4"/>
    <mergeCell ref="G3:G4"/>
    <mergeCell ref="H3:L3"/>
    <mergeCell ref="M3:M4"/>
    <mergeCell ref="A15:N15"/>
    <mergeCell ref="A16:A18"/>
    <mergeCell ref="B16:B18"/>
    <mergeCell ref="C16:C18"/>
    <mergeCell ref="D16:D18"/>
    <mergeCell ref="E16:E18"/>
    <mergeCell ref="M16:M18"/>
    <mergeCell ref="N16:N18"/>
    <mergeCell ref="N3:N4"/>
    <mergeCell ref="M5:M9"/>
    <mergeCell ref="N5:N9"/>
    <mergeCell ref="A10:E14"/>
    <mergeCell ref="M10:M11"/>
    <mergeCell ref="N10:N11"/>
    <mergeCell ref="N19:N21"/>
    <mergeCell ref="A22:A26"/>
    <mergeCell ref="B22:B26"/>
    <mergeCell ref="C22:C26"/>
    <mergeCell ref="D22:D26"/>
    <mergeCell ref="E22:E26"/>
    <mergeCell ref="M22:M26"/>
    <mergeCell ref="N22:N26"/>
    <mergeCell ref="A19:A21"/>
    <mergeCell ref="B19:B21"/>
    <mergeCell ref="C19:C21"/>
    <mergeCell ref="D19:D21"/>
    <mergeCell ref="E19:E21"/>
    <mergeCell ref="M19:M21"/>
    <mergeCell ref="N27:N29"/>
    <mergeCell ref="A30:A34"/>
    <mergeCell ref="B30:B34"/>
    <mergeCell ref="C30:C34"/>
    <mergeCell ref="D30:D34"/>
    <mergeCell ref="E30:E34"/>
    <mergeCell ref="M30:M34"/>
    <mergeCell ref="N30:N34"/>
    <mergeCell ref="A27:A29"/>
    <mergeCell ref="B27:B29"/>
    <mergeCell ref="C27:C29"/>
    <mergeCell ref="D27:D29"/>
    <mergeCell ref="E27:E29"/>
    <mergeCell ref="M27:M29"/>
    <mergeCell ref="N35:N39"/>
    <mergeCell ref="A40:A44"/>
    <mergeCell ref="B40:B44"/>
    <mergeCell ref="C40:C44"/>
    <mergeCell ref="D40:D44"/>
    <mergeCell ref="E40:E44"/>
    <mergeCell ref="M40:M44"/>
    <mergeCell ref="N40:N44"/>
    <mergeCell ref="A35:A39"/>
    <mergeCell ref="B35:B39"/>
    <mergeCell ref="C35:C39"/>
    <mergeCell ref="D35:D39"/>
    <mergeCell ref="E35:E39"/>
    <mergeCell ref="M35:M39"/>
    <mergeCell ref="N50:N53"/>
    <mergeCell ref="A54:A57"/>
    <mergeCell ref="B54:B57"/>
    <mergeCell ref="C54:C57"/>
    <mergeCell ref="D54:D57"/>
    <mergeCell ref="E54:E57"/>
    <mergeCell ref="M54:M57"/>
    <mergeCell ref="N54:N57"/>
    <mergeCell ref="A45:E48"/>
    <mergeCell ref="M45:M48"/>
    <mergeCell ref="N45:N48"/>
    <mergeCell ref="A49:N49"/>
    <mergeCell ref="A50:A53"/>
    <mergeCell ref="B50:B53"/>
    <mergeCell ref="C50:C53"/>
    <mergeCell ref="D50:D53"/>
    <mergeCell ref="E50:E53"/>
    <mergeCell ref="M50:M53"/>
    <mergeCell ref="N58:N62"/>
    <mergeCell ref="A63:A66"/>
    <mergeCell ref="B63:B66"/>
    <mergeCell ref="C63:C66"/>
    <mergeCell ref="D63:D66"/>
    <mergeCell ref="E63:E66"/>
    <mergeCell ref="M63:M66"/>
    <mergeCell ref="N63:N66"/>
    <mergeCell ref="A58:A62"/>
    <mergeCell ref="B58:B62"/>
    <mergeCell ref="C58:C62"/>
    <mergeCell ref="D58:D62"/>
    <mergeCell ref="E58:E62"/>
    <mergeCell ref="M58:M62"/>
    <mergeCell ref="C74:C76"/>
    <mergeCell ref="A77:A79"/>
    <mergeCell ref="B77:B79"/>
    <mergeCell ref="C77:C79"/>
    <mergeCell ref="D77:D79"/>
    <mergeCell ref="E77:E79"/>
    <mergeCell ref="A67:E71"/>
    <mergeCell ref="M67:M71"/>
    <mergeCell ref="N67:N71"/>
    <mergeCell ref="A72:N72"/>
    <mergeCell ref="A73:A76"/>
    <mergeCell ref="B73:B76"/>
    <mergeCell ref="D73:D76"/>
    <mergeCell ref="E73:E76"/>
    <mergeCell ref="M73:M76"/>
    <mergeCell ref="N73:N76"/>
    <mergeCell ref="M77:M79"/>
    <mergeCell ref="N77:N79"/>
    <mergeCell ref="A80:A82"/>
    <mergeCell ref="B80:B82"/>
    <mergeCell ref="C80:C82"/>
    <mergeCell ref="D80:D82"/>
    <mergeCell ref="E80:E82"/>
    <mergeCell ref="M80:M82"/>
    <mergeCell ref="N80:N82"/>
    <mergeCell ref="N83:N87"/>
    <mergeCell ref="A88:A92"/>
    <mergeCell ref="B88:B92"/>
    <mergeCell ref="C88:C92"/>
    <mergeCell ref="D88:D92"/>
    <mergeCell ref="E88:E92"/>
    <mergeCell ref="M88:M92"/>
    <mergeCell ref="N88:N92"/>
    <mergeCell ref="A83:A87"/>
    <mergeCell ref="B83:B87"/>
    <mergeCell ref="C83:C87"/>
    <mergeCell ref="D83:D87"/>
    <mergeCell ref="E83:E87"/>
    <mergeCell ref="M83:M87"/>
    <mergeCell ref="N93:N97"/>
    <mergeCell ref="B98:B102"/>
    <mergeCell ref="C98:C102"/>
    <mergeCell ref="D98:D102"/>
    <mergeCell ref="E98:E102"/>
    <mergeCell ref="M98:M102"/>
    <mergeCell ref="N98:N102"/>
    <mergeCell ref="A93:A97"/>
    <mergeCell ref="B93:B97"/>
    <mergeCell ref="C93:C97"/>
    <mergeCell ref="D93:D97"/>
    <mergeCell ref="E93:E97"/>
    <mergeCell ref="M93:M97"/>
    <mergeCell ref="B108:B112"/>
    <mergeCell ref="C108:C112"/>
    <mergeCell ref="D108:D112"/>
    <mergeCell ref="E108:E112"/>
    <mergeCell ref="M108:M112"/>
    <mergeCell ref="N108:N112"/>
    <mergeCell ref="B103:B107"/>
    <mergeCell ref="C103:C107"/>
    <mergeCell ref="D103:D107"/>
    <mergeCell ref="E103:E107"/>
    <mergeCell ref="M103:M107"/>
    <mergeCell ref="N103:N107"/>
    <mergeCell ref="B118:B122"/>
    <mergeCell ref="C118:C122"/>
    <mergeCell ref="D118:D122"/>
    <mergeCell ref="E118:E122"/>
    <mergeCell ref="M118:M122"/>
    <mergeCell ref="N118:N122"/>
    <mergeCell ref="B113:B117"/>
    <mergeCell ref="C113:C117"/>
    <mergeCell ref="D113:D117"/>
    <mergeCell ref="E113:E117"/>
    <mergeCell ref="M113:M117"/>
    <mergeCell ref="N113:N117"/>
    <mergeCell ref="A123:E127"/>
    <mergeCell ref="M123:M127"/>
    <mergeCell ref="N123:N127"/>
    <mergeCell ref="A128:N128"/>
    <mergeCell ref="A129:A131"/>
    <mergeCell ref="B129:B131"/>
    <mergeCell ref="C129:C131"/>
    <mergeCell ref="D129:D131"/>
    <mergeCell ref="E129:E131"/>
    <mergeCell ref="M129:M131"/>
    <mergeCell ref="N129:N131"/>
    <mergeCell ref="A132:N132"/>
    <mergeCell ref="A133:A137"/>
    <mergeCell ref="B133:B137"/>
    <mergeCell ref="C133:C137"/>
    <mergeCell ref="D133:D137"/>
    <mergeCell ref="E133:E137"/>
    <mergeCell ref="M133:M137"/>
    <mergeCell ref="N133:N137"/>
    <mergeCell ref="N138:N142"/>
    <mergeCell ref="A143:A147"/>
    <mergeCell ref="B143:B147"/>
    <mergeCell ref="C143:C147"/>
    <mergeCell ref="D143:D147"/>
    <mergeCell ref="E143:E147"/>
    <mergeCell ref="M143:M147"/>
    <mergeCell ref="N143:N147"/>
    <mergeCell ref="A138:A142"/>
    <mergeCell ref="B138:B142"/>
    <mergeCell ref="C138:C142"/>
    <mergeCell ref="D138:D142"/>
    <mergeCell ref="E138:E142"/>
    <mergeCell ref="M138:M142"/>
    <mergeCell ref="N148:N152"/>
    <mergeCell ref="A153:A157"/>
    <mergeCell ref="B153:B157"/>
    <mergeCell ref="C153:C157"/>
    <mergeCell ref="D153:D157"/>
    <mergeCell ref="E153:E157"/>
    <mergeCell ref="M153:M157"/>
    <mergeCell ref="N153:N157"/>
    <mergeCell ref="A148:A152"/>
    <mergeCell ref="B148:B152"/>
    <mergeCell ref="C148:C152"/>
    <mergeCell ref="D148:D152"/>
    <mergeCell ref="E148:E152"/>
    <mergeCell ref="M148:M152"/>
    <mergeCell ref="N164:N165"/>
    <mergeCell ref="A166:A170"/>
    <mergeCell ref="B166:B170"/>
    <mergeCell ref="C166:C170"/>
    <mergeCell ref="D166:D170"/>
    <mergeCell ref="E166:E170"/>
    <mergeCell ref="M166:M170"/>
    <mergeCell ref="N166:N170"/>
    <mergeCell ref="A158:E162"/>
    <mergeCell ref="M158:M162"/>
    <mergeCell ref="N158:N162"/>
    <mergeCell ref="A163:N163"/>
    <mergeCell ref="A164:A165"/>
    <mergeCell ref="B164:B165"/>
    <mergeCell ref="C164:C165"/>
    <mergeCell ref="D164:D165"/>
    <mergeCell ref="E164:E165"/>
    <mergeCell ref="M164:M165"/>
    <mergeCell ref="A181:N181"/>
    <mergeCell ref="A182:A184"/>
    <mergeCell ref="B182:B184"/>
    <mergeCell ref="C182:C184"/>
    <mergeCell ref="D182:D184"/>
    <mergeCell ref="E182:E184"/>
    <mergeCell ref="M182:M184"/>
    <mergeCell ref="N182:N184"/>
    <mergeCell ref="N171:N175"/>
    <mergeCell ref="A176:N176"/>
    <mergeCell ref="A177:A180"/>
    <mergeCell ref="B177:B180"/>
    <mergeCell ref="C177:C180"/>
    <mergeCell ref="D177:D180"/>
    <mergeCell ref="E177:E180"/>
    <mergeCell ref="M177:M180"/>
    <mergeCell ref="N177:N180"/>
    <mergeCell ref="A171:A175"/>
    <mergeCell ref="B171:B175"/>
    <mergeCell ref="C171:C175"/>
    <mergeCell ref="D171:D175"/>
    <mergeCell ref="E171:E175"/>
    <mergeCell ref="M171:M175"/>
    <mergeCell ref="N185:N187"/>
    <mergeCell ref="A188:A190"/>
    <mergeCell ref="B188:B190"/>
    <mergeCell ref="C188:C190"/>
    <mergeCell ref="D188:D190"/>
    <mergeCell ref="E188:E190"/>
    <mergeCell ref="M188:M190"/>
    <mergeCell ref="N188:N190"/>
    <mergeCell ref="A185:A187"/>
    <mergeCell ref="B185:B187"/>
    <mergeCell ref="C185:C187"/>
    <mergeCell ref="D185:D187"/>
    <mergeCell ref="E185:E187"/>
    <mergeCell ref="M185:M187"/>
    <mergeCell ref="A196:N196"/>
    <mergeCell ref="A197:A199"/>
    <mergeCell ref="B197:B199"/>
    <mergeCell ref="C197:C199"/>
    <mergeCell ref="D197:D199"/>
    <mergeCell ref="E197:E199"/>
    <mergeCell ref="M197:M199"/>
    <mergeCell ref="N197:N199"/>
    <mergeCell ref="N191:N193"/>
    <mergeCell ref="A194:A195"/>
    <mergeCell ref="B194:B195"/>
    <mergeCell ref="C194:C195"/>
    <mergeCell ref="D194:D195"/>
    <mergeCell ref="E194:E195"/>
    <mergeCell ref="M194:M195"/>
    <mergeCell ref="N194:N195"/>
    <mergeCell ref="A191:A193"/>
    <mergeCell ref="B191:B193"/>
    <mergeCell ref="C191:C193"/>
    <mergeCell ref="D191:D193"/>
    <mergeCell ref="E191:E193"/>
    <mergeCell ref="M191:M193"/>
    <mergeCell ref="N200:N201"/>
    <mergeCell ref="A202:A204"/>
    <mergeCell ref="B202:B204"/>
    <mergeCell ref="C202:C204"/>
    <mergeCell ref="D202:D204"/>
    <mergeCell ref="E202:E204"/>
    <mergeCell ref="M202:M204"/>
    <mergeCell ref="N202:N204"/>
    <mergeCell ref="A200:A201"/>
    <mergeCell ref="B200:B201"/>
    <mergeCell ref="C200:C201"/>
    <mergeCell ref="D200:D201"/>
    <mergeCell ref="E200:E201"/>
    <mergeCell ref="M200:M201"/>
    <mergeCell ref="N205:N207"/>
    <mergeCell ref="A208:A210"/>
    <mergeCell ref="B208:B210"/>
    <mergeCell ref="C208:C210"/>
    <mergeCell ref="D208:D210"/>
    <mergeCell ref="E208:E210"/>
    <mergeCell ref="M208:M210"/>
    <mergeCell ref="N208:N210"/>
    <mergeCell ref="A205:A207"/>
    <mergeCell ref="B205:B207"/>
    <mergeCell ref="C205:C207"/>
    <mergeCell ref="D205:D207"/>
    <mergeCell ref="E205:E207"/>
    <mergeCell ref="M205:M207"/>
    <mergeCell ref="N211:N213"/>
    <mergeCell ref="A214:A216"/>
    <mergeCell ref="B214:B216"/>
    <mergeCell ref="C214:C216"/>
    <mergeCell ref="D214:D216"/>
    <mergeCell ref="E214:E216"/>
    <mergeCell ref="M214:M216"/>
    <mergeCell ref="N214:N216"/>
    <mergeCell ref="A211:A213"/>
    <mergeCell ref="B211:B213"/>
    <mergeCell ref="C211:C213"/>
    <mergeCell ref="D211:D213"/>
    <mergeCell ref="E211:E213"/>
    <mergeCell ref="M211:M213"/>
    <mergeCell ref="A222:N222"/>
    <mergeCell ref="A223:A225"/>
    <mergeCell ref="B223:B225"/>
    <mergeCell ref="C223:C225"/>
    <mergeCell ref="D223:D225"/>
    <mergeCell ref="E223:E225"/>
    <mergeCell ref="M223:M225"/>
    <mergeCell ref="N223:N225"/>
    <mergeCell ref="N217:N219"/>
    <mergeCell ref="A220:A221"/>
    <mergeCell ref="B220:B221"/>
    <mergeCell ref="C220:C221"/>
    <mergeCell ref="D220:D221"/>
    <mergeCell ref="E220:E221"/>
    <mergeCell ref="M220:M221"/>
    <mergeCell ref="N220:N221"/>
    <mergeCell ref="A217:A219"/>
    <mergeCell ref="B217:B219"/>
    <mergeCell ref="C217:C219"/>
    <mergeCell ref="D217:D219"/>
    <mergeCell ref="E217:E219"/>
    <mergeCell ref="M217:M219"/>
    <mergeCell ref="M226:M228"/>
    <mergeCell ref="N226:N228"/>
    <mergeCell ref="A229:A231"/>
    <mergeCell ref="B229:B231"/>
    <mergeCell ref="C229:C231"/>
    <mergeCell ref="D229:D231"/>
    <mergeCell ref="E229:E231"/>
    <mergeCell ref="M229:M231"/>
    <mergeCell ref="N229:N231"/>
    <mergeCell ref="A226:A228"/>
    <mergeCell ref="B226:B228"/>
    <mergeCell ref="C226:C228"/>
    <mergeCell ref="D226:D228"/>
    <mergeCell ref="E226:E228"/>
    <mergeCell ref="L226:L228"/>
    <mergeCell ref="M232:M235"/>
    <mergeCell ref="N232:N235"/>
    <mergeCell ref="A236:A237"/>
    <mergeCell ref="B236:B237"/>
    <mergeCell ref="C236:C237"/>
    <mergeCell ref="D236:D237"/>
    <mergeCell ref="E236:E237"/>
    <mergeCell ref="L236:L237"/>
    <mergeCell ref="M236:M237"/>
    <mergeCell ref="N236:N237"/>
    <mergeCell ref="A232:A235"/>
    <mergeCell ref="B232:B235"/>
    <mergeCell ref="C232:C235"/>
    <mergeCell ref="D232:D235"/>
    <mergeCell ref="E232:E235"/>
    <mergeCell ref="L232:L235"/>
    <mergeCell ref="M238:M240"/>
    <mergeCell ref="N238:N240"/>
    <mergeCell ref="A241:A243"/>
    <mergeCell ref="B241:B243"/>
    <mergeCell ref="C241:C243"/>
    <mergeCell ref="D241:D243"/>
    <mergeCell ref="E241:E243"/>
    <mergeCell ref="L241:L243"/>
    <mergeCell ref="M241:M243"/>
    <mergeCell ref="N241:N243"/>
    <mergeCell ref="A238:A240"/>
    <mergeCell ref="B238:B240"/>
    <mergeCell ref="C238:C240"/>
    <mergeCell ref="D238:D240"/>
    <mergeCell ref="E238:E240"/>
    <mergeCell ref="L238:L240"/>
    <mergeCell ref="M244:M246"/>
    <mergeCell ref="N244:N246"/>
    <mergeCell ref="A247:E249"/>
    <mergeCell ref="M247:M249"/>
    <mergeCell ref="N247:N249"/>
    <mergeCell ref="A250:N250"/>
    <mergeCell ref="A244:A246"/>
    <mergeCell ref="B244:B246"/>
    <mergeCell ref="C244:C246"/>
    <mergeCell ref="D244:D246"/>
    <mergeCell ref="E244:E246"/>
    <mergeCell ref="L244:L246"/>
    <mergeCell ref="N251:N255"/>
    <mergeCell ref="A256:N256"/>
    <mergeCell ref="A257:A261"/>
    <mergeCell ref="B257:B261"/>
    <mergeCell ref="C257:C261"/>
    <mergeCell ref="D257:D261"/>
    <mergeCell ref="E257:E261"/>
    <mergeCell ref="M257:M261"/>
    <mergeCell ref="N257:N261"/>
    <mergeCell ref="A251:A255"/>
    <mergeCell ref="B251:B255"/>
    <mergeCell ref="C251:C255"/>
    <mergeCell ref="D251:D255"/>
    <mergeCell ref="E251:E255"/>
    <mergeCell ref="M251:M255"/>
    <mergeCell ref="A262:E263"/>
    <mergeCell ref="M262:M263"/>
    <mergeCell ref="N262:N263"/>
    <mergeCell ref="A264:N264"/>
    <mergeCell ref="A265:A266"/>
    <mergeCell ref="B265:B266"/>
    <mergeCell ref="C265:C266"/>
    <mergeCell ref="D265:D266"/>
    <mergeCell ref="E265:E266"/>
    <mergeCell ref="M265:M266"/>
    <mergeCell ref="N265:N266"/>
    <mergeCell ref="A267:E270"/>
    <mergeCell ref="M267:M270"/>
    <mergeCell ref="N267:N270"/>
    <mergeCell ref="A271:N271"/>
    <mergeCell ref="A272:A276"/>
    <mergeCell ref="B272:B276"/>
    <mergeCell ref="C272:C276"/>
    <mergeCell ref="D272:D276"/>
    <mergeCell ref="E272:E276"/>
    <mergeCell ref="M272:M276"/>
    <mergeCell ref="N272:N276"/>
    <mergeCell ref="A277:A281"/>
    <mergeCell ref="B277:B281"/>
    <mergeCell ref="C277:C281"/>
    <mergeCell ref="D277:D281"/>
    <mergeCell ref="E277:E281"/>
    <mergeCell ref="M277:M281"/>
    <mergeCell ref="N277:N281"/>
    <mergeCell ref="B287:B291"/>
    <mergeCell ref="C287:C291"/>
    <mergeCell ref="D287:D291"/>
    <mergeCell ref="E287:E291"/>
    <mergeCell ref="M287:M291"/>
    <mergeCell ref="N287:N291"/>
    <mergeCell ref="A282:A286"/>
    <mergeCell ref="B282:B286"/>
    <mergeCell ref="C282:C286"/>
    <mergeCell ref="D282:D286"/>
    <mergeCell ref="E282:E286"/>
    <mergeCell ref="M282:M286"/>
    <mergeCell ref="N302:N306"/>
    <mergeCell ref="A5:E9"/>
    <mergeCell ref="A302:A306"/>
    <mergeCell ref="B302:B306"/>
    <mergeCell ref="C302:C306"/>
    <mergeCell ref="D302:D306"/>
    <mergeCell ref="E302:E306"/>
    <mergeCell ref="M302:M306"/>
    <mergeCell ref="N292:N296"/>
    <mergeCell ref="A297:A301"/>
    <mergeCell ref="B297:B301"/>
    <mergeCell ref="C297:C301"/>
    <mergeCell ref="D297:D301"/>
    <mergeCell ref="E297:E301"/>
    <mergeCell ref="M297:M301"/>
    <mergeCell ref="N297:N301"/>
    <mergeCell ref="A292:A296"/>
    <mergeCell ref="B292:B296"/>
    <mergeCell ref="C292:C296"/>
    <mergeCell ref="D292:D296"/>
    <mergeCell ref="E292:E296"/>
    <mergeCell ref="M292:M296"/>
    <mergeCell ref="N282:N286"/>
    <mergeCell ref="A287:A291"/>
  </mergeCells>
  <conditionalFormatting sqref="H18">
    <cfRule type="expression" dxfId="1" priority="1">
      <formula>#REF!="Всего"</formula>
    </cfRule>
  </conditionalFormatting>
  <conditionalFormatting sqref="H18">
    <cfRule type="expression" dxfId="0" priority="2">
      <formula>#REF!="Всего"</formula>
    </cfRule>
  </conditionalFormatting>
  <dataValidations count="1">
    <dataValidation type="decimal" operator="greaterThanOrEqual" allowBlank="1" showInputMessage="1" showErrorMessage="1" sqref="H16:J18 K18 I20:J20">
      <formula1>0</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outlinePr summaryBelow="0"/>
  </sheetPr>
  <dimension ref="A1:AG93"/>
  <sheetViews>
    <sheetView view="pageBreakPreview" zoomScaleSheetLayoutView="100" workbookViewId="0">
      <pane xSplit="2" ySplit="8" topLeftCell="C9" activePane="bottomRight" state="frozen"/>
      <selection pane="topRight" activeCell="C1" sqref="C1"/>
      <selection pane="bottomLeft" activeCell="A9" sqref="A9"/>
      <selection pane="bottomRight" activeCell="B81" sqref="B81"/>
    </sheetView>
  </sheetViews>
  <sheetFormatPr defaultRowHeight="15" outlineLevelRow="1" x14ac:dyDescent="0.25"/>
  <cols>
    <col min="1" max="1" width="4.5703125" style="29" customWidth="1"/>
    <col min="2" max="2" width="51.85546875" style="4" customWidth="1"/>
    <col min="3" max="3" width="6.140625" style="4" bestFit="1" customWidth="1"/>
    <col min="4" max="4" width="4.85546875" style="4" customWidth="1"/>
    <col min="5" max="5" width="7.140625" style="4" customWidth="1"/>
    <col min="6" max="6" width="6.7109375" style="4" customWidth="1"/>
    <col min="7" max="7" width="6.5703125" style="4" customWidth="1"/>
    <col min="8" max="8" width="6.42578125" style="4" customWidth="1"/>
    <col min="9" max="9" width="7.42578125" style="4" customWidth="1"/>
    <col min="10" max="10" width="7.7109375" style="4" customWidth="1"/>
    <col min="11" max="11" width="8" style="4" customWidth="1"/>
    <col min="12" max="12" width="7.140625" style="4" customWidth="1"/>
    <col min="13" max="13" width="9.140625" style="4" bestFit="1" customWidth="1"/>
    <col min="14" max="14" width="7.42578125" style="4" customWidth="1"/>
    <col min="15" max="15" width="6.42578125" style="4" customWidth="1"/>
    <col min="16" max="16" width="7" style="4" customWidth="1"/>
    <col min="17" max="17" width="6.140625" style="4" customWidth="1"/>
    <col min="18" max="18" width="7.42578125" style="4" customWidth="1"/>
    <col min="19" max="19" width="8.140625" style="4" customWidth="1"/>
    <col min="20" max="20" width="8.28515625" style="4" customWidth="1"/>
    <col min="21" max="33" width="9.140625" style="4" hidden="1" customWidth="1"/>
    <col min="34" max="46" width="9.140625" style="4" customWidth="1"/>
    <col min="47" max="254" width="9.140625" style="4"/>
    <col min="255" max="255" width="3.7109375" style="4" customWidth="1"/>
    <col min="256" max="256" width="41.140625" style="4" customWidth="1"/>
    <col min="257" max="257" width="4.7109375" style="4" customWidth="1"/>
    <col min="258" max="258" width="4.85546875" style="4" customWidth="1"/>
    <col min="259" max="259" width="7.140625" style="4" customWidth="1"/>
    <col min="260" max="260" width="6.7109375" style="4" customWidth="1"/>
    <col min="261" max="261" width="6.5703125" style="4" customWidth="1"/>
    <col min="262" max="262" width="6.42578125" style="4" customWidth="1"/>
    <col min="263" max="263" width="6" style="4" customWidth="1"/>
    <col min="264" max="264" width="7.7109375" style="4" customWidth="1"/>
    <col min="265" max="265" width="8" style="4" customWidth="1"/>
    <col min="266" max="266" width="7.140625" style="4" customWidth="1"/>
    <col min="267" max="267" width="6.5703125" style="4" customWidth="1"/>
    <col min="268" max="268" width="5.42578125" style="4" customWidth="1"/>
    <col min="269" max="269" width="4.140625" style="4" customWidth="1"/>
    <col min="270" max="270" width="5.85546875" style="4" customWidth="1"/>
    <col min="271" max="271" width="4.7109375" style="4" customWidth="1"/>
    <col min="272" max="272" width="7.42578125" style="4" customWidth="1"/>
    <col min="273" max="273" width="8.140625" style="4" customWidth="1"/>
    <col min="274" max="274" width="8.28515625" style="4" customWidth="1"/>
    <col min="275" max="510" width="9.140625" style="4"/>
    <col min="511" max="511" width="3.7109375" style="4" customWidth="1"/>
    <col min="512" max="512" width="41.140625" style="4" customWidth="1"/>
    <col min="513" max="513" width="4.7109375" style="4" customWidth="1"/>
    <col min="514" max="514" width="4.85546875" style="4" customWidth="1"/>
    <col min="515" max="515" width="7.140625" style="4" customWidth="1"/>
    <col min="516" max="516" width="6.7109375" style="4" customWidth="1"/>
    <col min="517" max="517" width="6.5703125" style="4" customWidth="1"/>
    <col min="518" max="518" width="6.42578125" style="4" customWidth="1"/>
    <col min="519" max="519" width="6" style="4" customWidth="1"/>
    <col min="520" max="520" width="7.7109375" style="4" customWidth="1"/>
    <col min="521" max="521" width="8" style="4" customWidth="1"/>
    <col min="522" max="522" width="7.140625" style="4" customWidth="1"/>
    <col min="523" max="523" width="6.5703125" style="4" customWidth="1"/>
    <col min="524" max="524" width="5.42578125" style="4" customWidth="1"/>
    <col min="525" max="525" width="4.140625" style="4" customWidth="1"/>
    <col min="526" max="526" width="5.85546875" style="4" customWidth="1"/>
    <col min="527" max="527" width="4.7109375" style="4" customWidth="1"/>
    <col min="528" max="528" width="7.42578125" style="4" customWidth="1"/>
    <col min="529" max="529" width="8.140625" style="4" customWidth="1"/>
    <col min="530" max="530" width="8.28515625" style="4" customWidth="1"/>
    <col min="531" max="766" width="9.140625" style="4"/>
    <col min="767" max="767" width="3.7109375" style="4" customWidth="1"/>
    <col min="768" max="768" width="41.140625" style="4" customWidth="1"/>
    <col min="769" max="769" width="4.7109375" style="4" customWidth="1"/>
    <col min="770" max="770" width="4.85546875" style="4" customWidth="1"/>
    <col min="771" max="771" width="7.140625" style="4" customWidth="1"/>
    <col min="772" max="772" width="6.7109375" style="4" customWidth="1"/>
    <col min="773" max="773" width="6.5703125" style="4" customWidth="1"/>
    <col min="774" max="774" width="6.42578125" style="4" customWidth="1"/>
    <col min="775" max="775" width="6" style="4" customWidth="1"/>
    <col min="776" max="776" width="7.7109375" style="4" customWidth="1"/>
    <col min="777" max="777" width="8" style="4" customWidth="1"/>
    <col min="778" max="778" width="7.140625" style="4" customWidth="1"/>
    <col min="779" max="779" width="6.5703125" style="4" customWidth="1"/>
    <col min="780" max="780" width="5.42578125" style="4" customWidth="1"/>
    <col min="781" max="781" width="4.140625" style="4" customWidth="1"/>
    <col min="782" max="782" width="5.85546875" style="4" customWidth="1"/>
    <col min="783" max="783" width="4.7109375" style="4" customWidth="1"/>
    <col min="784" max="784" width="7.42578125" style="4" customWidth="1"/>
    <col min="785" max="785" width="8.140625" style="4" customWidth="1"/>
    <col min="786" max="786" width="8.28515625" style="4" customWidth="1"/>
    <col min="787" max="1022" width="9.140625" style="4"/>
    <col min="1023" max="1023" width="3.7109375" style="4" customWidth="1"/>
    <col min="1024" max="1024" width="41.140625" style="4" customWidth="1"/>
    <col min="1025" max="1025" width="4.7109375" style="4" customWidth="1"/>
    <col min="1026" max="1026" width="4.85546875" style="4" customWidth="1"/>
    <col min="1027" max="1027" width="7.140625" style="4" customWidth="1"/>
    <col min="1028" max="1028" width="6.7109375" style="4" customWidth="1"/>
    <col min="1029" max="1029" width="6.5703125" style="4" customWidth="1"/>
    <col min="1030" max="1030" width="6.42578125" style="4" customWidth="1"/>
    <col min="1031" max="1031" width="6" style="4" customWidth="1"/>
    <col min="1032" max="1032" width="7.7109375" style="4" customWidth="1"/>
    <col min="1033" max="1033" width="8" style="4" customWidth="1"/>
    <col min="1034" max="1034" width="7.140625" style="4" customWidth="1"/>
    <col min="1035" max="1035" width="6.5703125" style="4" customWidth="1"/>
    <col min="1036" max="1036" width="5.42578125" style="4" customWidth="1"/>
    <col min="1037" max="1037" width="4.140625" style="4" customWidth="1"/>
    <col min="1038" max="1038" width="5.85546875" style="4" customWidth="1"/>
    <col min="1039" max="1039" width="4.7109375" style="4" customWidth="1"/>
    <col min="1040" max="1040" width="7.42578125" style="4" customWidth="1"/>
    <col min="1041" max="1041" width="8.140625" style="4" customWidth="1"/>
    <col min="1042" max="1042" width="8.28515625" style="4" customWidth="1"/>
    <col min="1043" max="1278" width="9.140625" style="4"/>
    <col min="1279" max="1279" width="3.7109375" style="4" customWidth="1"/>
    <col min="1280" max="1280" width="41.140625" style="4" customWidth="1"/>
    <col min="1281" max="1281" width="4.7109375" style="4" customWidth="1"/>
    <col min="1282" max="1282" width="4.85546875" style="4" customWidth="1"/>
    <col min="1283" max="1283" width="7.140625" style="4" customWidth="1"/>
    <col min="1284" max="1284" width="6.7109375" style="4" customWidth="1"/>
    <col min="1285" max="1285" width="6.5703125" style="4" customWidth="1"/>
    <col min="1286" max="1286" width="6.42578125" style="4" customWidth="1"/>
    <col min="1287" max="1287" width="6" style="4" customWidth="1"/>
    <col min="1288" max="1288" width="7.7109375" style="4" customWidth="1"/>
    <col min="1289" max="1289" width="8" style="4" customWidth="1"/>
    <col min="1290" max="1290" width="7.140625" style="4" customWidth="1"/>
    <col min="1291" max="1291" width="6.5703125" style="4" customWidth="1"/>
    <col min="1292" max="1292" width="5.42578125" style="4" customWidth="1"/>
    <col min="1293" max="1293" width="4.140625" style="4" customWidth="1"/>
    <col min="1294" max="1294" width="5.85546875" style="4" customWidth="1"/>
    <col min="1295" max="1295" width="4.7109375" style="4" customWidth="1"/>
    <col min="1296" max="1296" width="7.42578125" style="4" customWidth="1"/>
    <col min="1297" max="1297" width="8.140625" style="4" customWidth="1"/>
    <col min="1298" max="1298" width="8.28515625" style="4" customWidth="1"/>
    <col min="1299" max="1534" width="9.140625" style="4"/>
    <col min="1535" max="1535" width="3.7109375" style="4" customWidth="1"/>
    <col min="1536" max="1536" width="41.140625" style="4" customWidth="1"/>
    <col min="1537" max="1537" width="4.7109375" style="4" customWidth="1"/>
    <col min="1538" max="1538" width="4.85546875" style="4" customWidth="1"/>
    <col min="1539" max="1539" width="7.140625" style="4" customWidth="1"/>
    <col min="1540" max="1540" width="6.7109375" style="4" customWidth="1"/>
    <col min="1541" max="1541" width="6.5703125" style="4" customWidth="1"/>
    <col min="1542" max="1542" width="6.42578125" style="4" customWidth="1"/>
    <col min="1543" max="1543" width="6" style="4" customWidth="1"/>
    <col min="1544" max="1544" width="7.7109375" style="4" customWidth="1"/>
    <col min="1545" max="1545" width="8" style="4" customWidth="1"/>
    <col min="1546" max="1546" width="7.140625" style="4" customWidth="1"/>
    <col min="1547" max="1547" width="6.5703125" style="4" customWidth="1"/>
    <col min="1548" max="1548" width="5.42578125" style="4" customWidth="1"/>
    <col min="1549" max="1549" width="4.140625" style="4" customWidth="1"/>
    <col min="1550" max="1550" width="5.85546875" style="4" customWidth="1"/>
    <col min="1551" max="1551" width="4.7109375" style="4" customWidth="1"/>
    <col min="1552" max="1552" width="7.42578125" style="4" customWidth="1"/>
    <col min="1553" max="1553" width="8.140625" style="4" customWidth="1"/>
    <col min="1554" max="1554" width="8.28515625" style="4" customWidth="1"/>
    <col min="1555" max="1790" width="9.140625" style="4"/>
    <col min="1791" max="1791" width="3.7109375" style="4" customWidth="1"/>
    <col min="1792" max="1792" width="41.140625" style="4" customWidth="1"/>
    <col min="1793" max="1793" width="4.7109375" style="4" customWidth="1"/>
    <col min="1794" max="1794" width="4.85546875" style="4" customWidth="1"/>
    <col min="1795" max="1795" width="7.140625" style="4" customWidth="1"/>
    <col min="1796" max="1796" width="6.7109375" style="4" customWidth="1"/>
    <col min="1797" max="1797" width="6.5703125" style="4" customWidth="1"/>
    <col min="1798" max="1798" width="6.42578125" style="4" customWidth="1"/>
    <col min="1799" max="1799" width="6" style="4" customWidth="1"/>
    <col min="1800" max="1800" width="7.7109375" style="4" customWidth="1"/>
    <col min="1801" max="1801" width="8" style="4" customWidth="1"/>
    <col min="1802" max="1802" width="7.140625" style="4" customWidth="1"/>
    <col min="1803" max="1803" width="6.5703125" style="4" customWidth="1"/>
    <col min="1804" max="1804" width="5.42578125" style="4" customWidth="1"/>
    <col min="1805" max="1805" width="4.140625" style="4" customWidth="1"/>
    <col min="1806" max="1806" width="5.85546875" style="4" customWidth="1"/>
    <col min="1807" max="1807" width="4.7109375" style="4" customWidth="1"/>
    <col min="1808" max="1808" width="7.42578125" style="4" customWidth="1"/>
    <col min="1809" max="1809" width="8.140625" style="4" customWidth="1"/>
    <col min="1810" max="1810" width="8.28515625" style="4" customWidth="1"/>
    <col min="1811" max="2046" width="9.140625" style="4"/>
    <col min="2047" max="2047" width="3.7109375" style="4" customWidth="1"/>
    <col min="2048" max="2048" width="41.140625" style="4" customWidth="1"/>
    <col min="2049" max="2049" width="4.7109375" style="4" customWidth="1"/>
    <col min="2050" max="2050" width="4.85546875" style="4" customWidth="1"/>
    <col min="2051" max="2051" width="7.140625" style="4" customWidth="1"/>
    <col min="2052" max="2052" width="6.7109375" style="4" customWidth="1"/>
    <col min="2053" max="2053" width="6.5703125" style="4" customWidth="1"/>
    <col min="2054" max="2054" width="6.42578125" style="4" customWidth="1"/>
    <col min="2055" max="2055" width="6" style="4" customWidth="1"/>
    <col min="2056" max="2056" width="7.7109375" style="4" customWidth="1"/>
    <col min="2057" max="2057" width="8" style="4" customWidth="1"/>
    <col min="2058" max="2058" width="7.140625" style="4" customWidth="1"/>
    <col min="2059" max="2059" width="6.5703125" style="4" customWidth="1"/>
    <col min="2060" max="2060" width="5.42578125" style="4" customWidth="1"/>
    <col min="2061" max="2061" width="4.140625" style="4" customWidth="1"/>
    <col min="2062" max="2062" width="5.85546875" style="4" customWidth="1"/>
    <col min="2063" max="2063" width="4.7109375" style="4" customWidth="1"/>
    <col min="2064" max="2064" width="7.42578125" style="4" customWidth="1"/>
    <col min="2065" max="2065" width="8.140625" style="4" customWidth="1"/>
    <col min="2066" max="2066" width="8.28515625" style="4" customWidth="1"/>
    <col min="2067" max="2302" width="9.140625" style="4"/>
    <col min="2303" max="2303" width="3.7109375" style="4" customWidth="1"/>
    <col min="2304" max="2304" width="41.140625" style="4" customWidth="1"/>
    <col min="2305" max="2305" width="4.7109375" style="4" customWidth="1"/>
    <col min="2306" max="2306" width="4.85546875" style="4" customWidth="1"/>
    <col min="2307" max="2307" width="7.140625" style="4" customWidth="1"/>
    <col min="2308" max="2308" width="6.7109375" style="4" customWidth="1"/>
    <col min="2309" max="2309" width="6.5703125" style="4" customWidth="1"/>
    <col min="2310" max="2310" width="6.42578125" style="4" customWidth="1"/>
    <col min="2311" max="2311" width="6" style="4" customWidth="1"/>
    <col min="2312" max="2312" width="7.7109375" style="4" customWidth="1"/>
    <col min="2313" max="2313" width="8" style="4" customWidth="1"/>
    <col min="2314" max="2314" width="7.140625" style="4" customWidth="1"/>
    <col min="2315" max="2315" width="6.5703125" style="4" customWidth="1"/>
    <col min="2316" max="2316" width="5.42578125" style="4" customWidth="1"/>
    <col min="2317" max="2317" width="4.140625" style="4" customWidth="1"/>
    <col min="2318" max="2318" width="5.85546875" style="4" customWidth="1"/>
    <col min="2319" max="2319" width="4.7109375" style="4" customWidth="1"/>
    <col min="2320" max="2320" width="7.42578125" style="4" customWidth="1"/>
    <col min="2321" max="2321" width="8.140625" style="4" customWidth="1"/>
    <col min="2322" max="2322" width="8.28515625" style="4" customWidth="1"/>
    <col min="2323" max="2558" width="9.140625" style="4"/>
    <col min="2559" max="2559" width="3.7109375" style="4" customWidth="1"/>
    <col min="2560" max="2560" width="41.140625" style="4" customWidth="1"/>
    <col min="2561" max="2561" width="4.7109375" style="4" customWidth="1"/>
    <col min="2562" max="2562" width="4.85546875" style="4" customWidth="1"/>
    <col min="2563" max="2563" width="7.140625" style="4" customWidth="1"/>
    <col min="2564" max="2564" width="6.7109375" style="4" customWidth="1"/>
    <col min="2565" max="2565" width="6.5703125" style="4" customWidth="1"/>
    <col min="2566" max="2566" width="6.42578125" style="4" customWidth="1"/>
    <col min="2567" max="2567" width="6" style="4" customWidth="1"/>
    <col min="2568" max="2568" width="7.7109375" style="4" customWidth="1"/>
    <col min="2569" max="2569" width="8" style="4" customWidth="1"/>
    <col min="2570" max="2570" width="7.140625" style="4" customWidth="1"/>
    <col min="2571" max="2571" width="6.5703125" style="4" customWidth="1"/>
    <col min="2572" max="2572" width="5.42578125" style="4" customWidth="1"/>
    <col min="2573" max="2573" width="4.140625" style="4" customWidth="1"/>
    <col min="2574" max="2574" width="5.85546875" style="4" customWidth="1"/>
    <col min="2575" max="2575" width="4.7109375" style="4" customWidth="1"/>
    <col min="2576" max="2576" width="7.42578125" style="4" customWidth="1"/>
    <col min="2577" max="2577" width="8.140625" style="4" customWidth="1"/>
    <col min="2578" max="2578" width="8.28515625" style="4" customWidth="1"/>
    <col min="2579" max="2814" width="9.140625" style="4"/>
    <col min="2815" max="2815" width="3.7109375" style="4" customWidth="1"/>
    <col min="2816" max="2816" width="41.140625" style="4" customWidth="1"/>
    <col min="2817" max="2817" width="4.7109375" style="4" customWidth="1"/>
    <col min="2818" max="2818" width="4.85546875" style="4" customWidth="1"/>
    <col min="2819" max="2819" width="7.140625" style="4" customWidth="1"/>
    <col min="2820" max="2820" width="6.7109375" style="4" customWidth="1"/>
    <col min="2821" max="2821" width="6.5703125" style="4" customWidth="1"/>
    <col min="2822" max="2822" width="6.42578125" style="4" customWidth="1"/>
    <col min="2823" max="2823" width="6" style="4" customWidth="1"/>
    <col min="2824" max="2824" width="7.7109375" style="4" customWidth="1"/>
    <col min="2825" max="2825" width="8" style="4" customWidth="1"/>
    <col min="2826" max="2826" width="7.140625" style="4" customWidth="1"/>
    <col min="2827" max="2827" width="6.5703125" style="4" customWidth="1"/>
    <col min="2828" max="2828" width="5.42578125" style="4" customWidth="1"/>
    <col min="2829" max="2829" width="4.140625" style="4" customWidth="1"/>
    <col min="2830" max="2830" width="5.85546875" style="4" customWidth="1"/>
    <col min="2831" max="2831" width="4.7109375" style="4" customWidth="1"/>
    <col min="2832" max="2832" width="7.42578125" style="4" customWidth="1"/>
    <col min="2833" max="2833" width="8.140625" style="4" customWidth="1"/>
    <col min="2834" max="2834" width="8.28515625" style="4" customWidth="1"/>
    <col min="2835" max="3070" width="9.140625" style="4"/>
    <col min="3071" max="3071" width="3.7109375" style="4" customWidth="1"/>
    <col min="3072" max="3072" width="41.140625" style="4" customWidth="1"/>
    <col min="3073" max="3073" width="4.7109375" style="4" customWidth="1"/>
    <col min="3074" max="3074" width="4.85546875" style="4" customWidth="1"/>
    <col min="3075" max="3075" width="7.140625" style="4" customWidth="1"/>
    <col min="3076" max="3076" width="6.7109375" style="4" customWidth="1"/>
    <col min="3077" max="3077" width="6.5703125" style="4" customWidth="1"/>
    <col min="3078" max="3078" width="6.42578125" style="4" customWidth="1"/>
    <col min="3079" max="3079" width="6" style="4" customWidth="1"/>
    <col min="3080" max="3080" width="7.7109375" style="4" customWidth="1"/>
    <col min="3081" max="3081" width="8" style="4" customWidth="1"/>
    <col min="3082" max="3082" width="7.140625" style="4" customWidth="1"/>
    <col min="3083" max="3083" width="6.5703125" style="4" customWidth="1"/>
    <col min="3084" max="3084" width="5.42578125" style="4" customWidth="1"/>
    <col min="3085" max="3085" width="4.140625" style="4" customWidth="1"/>
    <col min="3086" max="3086" width="5.85546875" style="4" customWidth="1"/>
    <col min="3087" max="3087" width="4.7109375" style="4" customWidth="1"/>
    <col min="3088" max="3088" width="7.42578125" style="4" customWidth="1"/>
    <col min="3089" max="3089" width="8.140625" style="4" customWidth="1"/>
    <col min="3090" max="3090" width="8.28515625" style="4" customWidth="1"/>
    <col min="3091" max="3326" width="9.140625" style="4"/>
    <col min="3327" max="3327" width="3.7109375" style="4" customWidth="1"/>
    <col min="3328" max="3328" width="41.140625" style="4" customWidth="1"/>
    <col min="3329" max="3329" width="4.7109375" style="4" customWidth="1"/>
    <col min="3330" max="3330" width="4.85546875" style="4" customWidth="1"/>
    <col min="3331" max="3331" width="7.140625" style="4" customWidth="1"/>
    <col min="3332" max="3332" width="6.7109375" style="4" customWidth="1"/>
    <col min="3333" max="3333" width="6.5703125" style="4" customWidth="1"/>
    <col min="3334" max="3334" width="6.42578125" style="4" customWidth="1"/>
    <col min="3335" max="3335" width="6" style="4" customWidth="1"/>
    <col min="3336" max="3336" width="7.7109375" style="4" customWidth="1"/>
    <col min="3337" max="3337" width="8" style="4" customWidth="1"/>
    <col min="3338" max="3338" width="7.140625" style="4" customWidth="1"/>
    <col min="3339" max="3339" width="6.5703125" style="4" customWidth="1"/>
    <col min="3340" max="3340" width="5.42578125" style="4" customWidth="1"/>
    <col min="3341" max="3341" width="4.140625" style="4" customWidth="1"/>
    <col min="3342" max="3342" width="5.85546875" style="4" customWidth="1"/>
    <col min="3343" max="3343" width="4.7109375" style="4" customWidth="1"/>
    <col min="3344" max="3344" width="7.42578125" style="4" customWidth="1"/>
    <col min="3345" max="3345" width="8.140625" style="4" customWidth="1"/>
    <col min="3346" max="3346" width="8.28515625" style="4" customWidth="1"/>
    <col min="3347" max="3582" width="9.140625" style="4"/>
    <col min="3583" max="3583" width="3.7109375" style="4" customWidth="1"/>
    <col min="3584" max="3584" width="41.140625" style="4" customWidth="1"/>
    <col min="3585" max="3585" width="4.7109375" style="4" customWidth="1"/>
    <col min="3586" max="3586" width="4.85546875" style="4" customWidth="1"/>
    <col min="3587" max="3587" width="7.140625" style="4" customWidth="1"/>
    <col min="3588" max="3588" width="6.7109375" style="4" customWidth="1"/>
    <col min="3589" max="3589" width="6.5703125" style="4" customWidth="1"/>
    <col min="3590" max="3590" width="6.42578125" style="4" customWidth="1"/>
    <col min="3591" max="3591" width="6" style="4" customWidth="1"/>
    <col min="3592" max="3592" width="7.7109375" style="4" customWidth="1"/>
    <col min="3593" max="3593" width="8" style="4" customWidth="1"/>
    <col min="3594" max="3594" width="7.140625" style="4" customWidth="1"/>
    <col min="3595" max="3595" width="6.5703125" style="4" customWidth="1"/>
    <col min="3596" max="3596" width="5.42578125" style="4" customWidth="1"/>
    <col min="3597" max="3597" width="4.140625" style="4" customWidth="1"/>
    <col min="3598" max="3598" width="5.85546875" style="4" customWidth="1"/>
    <col min="3599" max="3599" width="4.7109375" style="4" customWidth="1"/>
    <col min="3600" max="3600" width="7.42578125" style="4" customWidth="1"/>
    <col min="3601" max="3601" width="8.140625" style="4" customWidth="1"/>
    <col min="3602" max="3602" width="8.28515625" style="4" customWidth="1"/>
    <col min="3603" max="3838" width="9.140625" style="4"/>
    <col min="3839" max="3839" width="3.7109375" style="4" customWidth="1"/>
    <col min="3840" max="3840" width="41.140625" style="4" customWidth="1"/>
    <col min="3841" max="3841" width="4.7109375" style="4" customWidth="1"/>
    <col min="3842" max="3842" width="4.85546875" style="4" customWidth="1"/>
    <col min="3843" max="3843" width="7.140625" style="4" customWidth="1"/>
    <col min="3844" max="3844" width="6.7109375" style="4" customWidth="1"/>
    <col min="3845" max="3845" width="6.5703125" style="4" customWidth="1"/>
    <col min="3846" max="3846" width="6.42578125" style="4" customWidth="1"/>
    <col min="3847" max="3847" width="6" style="4" customWidth="1"/>
    <col min="3848" max="3848" width="7.7109375" style="4" customWidth="1"/>
    <col min="3849" max="3849" width="8" style="4" customWidth="1"/>
    <col min="3850" max="3850" width="7.140625" style="4" customWidth="1"/>
    <col min="3851" max="3851" width="6.5703125" style="4" customWidth="1"/>
    <col min="3852" max="3852" width="5.42578125" style="4" customWidth="1"/>
    <col min="3853" max="3853" width="4.140625" style="4" customWidth="1"/>
    <col min="3854" max="3854" width="5.85546875" style="4" customWidth="1"/>
    <col min="3855" max="3855" width="4.7109375" style="4" customWidth="1"/>
    <col min="3856" max="3856" width="7.42578125" style="4" customWidth="1"/>
    <col min="3857" max="3857" width="8.140625" style="4" customWidth="1"/>
    <col min="3858" max="3858" width="8.28515625" style="4" customWidth="1"/>
    <col min="3859" max="4094" width="9.140625" style="4"/>
    <col min="4095" max="4095" width="3.7109375" style="4" customWidth="1"/>
    <col min="4096" max="4096" width="41.140625" style="4" customWidth="1"/>
    <col min="4097" max="4097" width="4.7109375" style="4" customWidth="1"/>
    <col min="4098" max="4098" width="4.85546875" style="4" customWidth="1"/>
    <col min="4099" max="4099" width="7.140625" style="4" customWidth="1"/>
    <col min="4100" max="4100" width="6.7109375" style="4" customWidth="1"/>
    <col min="4101" max="4101" width="6.5703125" style="4" customWidth="1"/>
    <col min="4102" max="4102" width="6.42578125" style="4" customWidth="1"/>
    <col min="4103" max="4103" width="6" style="4" customWidth="1"/>
    <col min="4104" max="4104" width="7.7109375" style="4" customWidth="1"/>
    <col min="4105" max="4105" width="8" style="4" customWidth="1"/>
    <col min="4106" max="4106" width="7.140625" style="4" customWidth="1"/>
    <col min="4107" max="4107" width="6.5703125" style="4" customWidth="1"/>
    <col min="4108" max="4108" width="5.42578125" style="4" customWidth="1"/>
    <col min="4109" max="4109" width="4.140625" style="4" customWidth="1"/>
    <col min="4110" max="4110" width="5.85546875" style="4" customWidth="1"/>
    <col min="4111" max="4111" width="4.7109375" style="4" customWidth="1"/>
    <col min="4112" max="4112" width="7.42578125" style="4" customWidth="1"/>
    <col min="4113" max="4113" width="8.140625" style="4" customWidth="1"/>
    <col min="4114" max="4114" width="8.28515625" style="4" customWidth="1"/>
    <col min="4115" max="4350" width="9.140625" style="4"/>
    <col min="4351" max="4351" width="3.7109375" style="4" customWidth="1"/>
    <col min="4352" max="4352" width="41.140625" style="4" customWidth="1"/>
    <col min="4353" max="4353" width="4.7109375" style="4" customWidth="1"/>
    <col min="4354" max="4354" width="4.85546875" style="4" customWidth="1"/>
    <col min="4355" max="4355" width="7.140625" style="4" customWidth="1"/>
    <col min="4356" max="4356" width="6.7109375" style="4" customWidth="1"/>
    <col min="4357" max="4357" width="6.5703125" style="4" customWidth="1"/>
    <col min="4358" max="4358" width="6.42578125" style="4" customWidth="1"/>
    <col min="4359" max="4359" width="6" style="4" customWidth="1"/>
    <col min="4360" max="4360" width="7.7109375" style="4" customWidth="1"/>
    <col min="4361" max="4361" width="8" style="4" customWidth="1"/>
    <col min="4362" max="4362" width="7.140625" style="4" customWidth="1"/>
    <col min="4363" max="4363" width="6.5703125" style="4" customWidth="1"/>
    <col min="4364" max="4364" width="5.42578125" style="4" customWidth="1"/>
    <col min="4365" max="4365" width="4.140625" style="4" customWidth="1"/>
    <col min="4366" max="4366" width="5.85546875" style="4" customWidth="1"/>
    <col min="4367" max="4367" width="4.7109375" style="4" customWidth="1"/>
    <col min="4368" max="4368" width="7.42578125" style="4" customWidth="1"/>
    <col min="4369" max="4369" width="8.140625" style="4" customWidth="1"/>
    <col min="4370" max="4370" width="8.28515625" style="4" customWidth="1"/>
    <col min="4371" max="4606" width="9.140625" style="4"/>
    <col min="4607" max="4607" width="3.7109375" style="4" customWidth="1"/>
    <col min="4608" max="4608" width="41.140625" style="4" customWidth="1"/>
    <col min="4609" max="4609" width="4.7109375" style="4" customWidth="1"/>
    <col min="4610" max="4610" width="4.85546875" style="4" customWidth="1"/>
    <col min="4611" max="4611" width="7.140625" style="4" customWidth="1"/>
    <col min="4612" max="4612" width="6.7109375" style="4" customWidth="1"/>
    <col min="4613" max="4613" width="6.5703125" style="4" customWidth="1"/>
    <col min="4614" max="4614" width="6.42578125" style="4" customWidth="1"/>
    <col min="4615" max="4615" width="6" style="4" customWidth="1"/>
    <col min="4616" max="4616" width="7.7109375" style="4" customWidth="1"/>
    <col min="4617" max="4617" width="8" style="4" customWidth="1"/>
    <col min="4618" max="4618" width="7.140625" style="4" customWidth="1"/>
    <col min="4619" max="4619" width="6.5703125" style="4" customWidth="1"/>
    <col min="4620" max="4620" width="5.42578125" style="4" customWidth="1"/>
    <col min="4621" max="4621" width="4.140625" style="4" customWidth="1"/>
    <col min="4622" max="4622" width="5.85546875" style="4" customWidth="1"/>
    <col min="4623" max="4623" width="4.7109375" style="4" customWidth="1"/>
    <col min="4624" max="4624" width="7.42578125" style="4" customWidth="1"/>
    <col min="4625" max="4625" width="8.140625" style="4" customWidth="1"/>
    <col min="4626" max="4626" width="8.28515625" style="4" customWidth="1"/>
    <col min="4627" max="4862" width="9.140625" style="4"/>
    <col min="4863" max="4863" width="3.7109375" style="4" customWidth="1"/>
    <col min="4864" max="4864" width="41.140625" style="4" customWidth="1"/>
    <col min="4865" max="4865" width="4.7109375" style="4" customWidth="1"/>
    <col min="4866" max="4866" width="4.85546875" style="4" customWidth="1"/>
    <col min="4867" max="4867" width="7.140625" style="4" customWidth="1"/>
    <col min="4868" max="4868" width="6.7109375" style="4" customWidth="1"/>
    <col min="4869" max="4869" width="6.5703125" style="4" customWidth="1"/>
    <col min="4870" max="4870" width="6.42578125" style="4" customWidth="1"/>
    <col min="4871" max="4871" width="6" style="4" customWidth="1"/>
    <col min="4872" max="4872" width="7.7109375" style="4" customWidth="1"/>
    <col min="4873" max="4873" width="8" style="4" customWidth="1"/>
    <col min="4874" max="4874" width="7.140625" style="4" customWidth="1"/>
    <col min="4875" max="4875" width="6.5703125" style="4" customWidth="1"/>
    <col min="4876" max="4876" width="5.42578125" style="4" customWidth="1"/>
    <col min="4877" max="4877" width="4.140625" style="4" customWidth="1"/>
    <col min="4878" max="4878" width="5.85546875" style="4" customWidth="1"/>
    <col min="4879" max="4879" width="4.7109375" style="4" customWidth="1"/>
    <col min="4880" max="4880" width="7.42578125" style="4" customWidth="1"/>
    <col min="4881" max="4881" width="8.140625" style="4" customWidth="1"/>
    <col min="4882" max="4882" width="8.28515625" style="4" customWidth="1"/>
    <col min="4883" max="5118" width="9.140625" style="4"/>
    <col min="5119" max="5119" width="3.7109375" style="4" customWidth="1"/>
    <col min="5120" max="5120" width="41.140625" style="4" customWidth="1"/>
    <col min="5121" max="5121" width="4.7109375" style="4" customWidth="1"/>
    <col min="5122" max="5122" width="4.85546875" style="4" customWidth="1"/>
    <col min="5123" max="5123" width="7.140625" style="4" customWidth="1"/>
    <col min="5124" max="5124" width="6.7109375" style="4" customWidth="1"/>
    <col min="5125" max="5125" width="6.5703125" style="4" customWidth="1"/>
    <col min="5126" max="5126" width="6.42578125" style="4" customWidth="1"/>
    <col min="5127" max="5127" width="6" style="4" customWidth="1"/>
    <col min="5128" max="5128" width="7.7109375" style="4" customWidth="1"/>
    <col min="5129" max="5129" width="8" style="4" customWidth="1"/>
    <col min="5130" max="5130" width="7.140625" style="4" customWidth="1"/>
    <col min="5131" max="5131" width="6.5703125" style="4" customWidth="1"/>
    <col min="5132" max="5132" width="5.42578125" style="4" customWidth="1"/>
    <col min="5133" max="5133" width="4.140625" style="4" customWidth="1"/>
    <col min="5134" max="5134" width="5.85546875" style="4" customWidth="1"/>
    <col min="5135" max="5135" width="4.7109375" style="4" customWidth="1"/>
    <col min="5136" max="5136" width="7.42578125" style="4" customWidth="1"/>
    <col min="5137" max="5137" width="8.140625" style="4" customWidth="1"/>
    <col min="5138" max="5138" width="8.28515625" style="4" customWidth="1"/>
    <col min="5139" max="5374" width="9.140625" style="4"/>
    <col min="5375" max="5375" width="3.7109375" style="4" customWidth="1"/>
    <col min="5376" max="5376" width="41.140625" style="4" customWidth="1"/>
    <col min="5377" max="5377" width="4.7109375" style="4" customWidth="1"/>
    <col min="5378" max="5378" width="4.85546875" style="4" customWidth="1"/>
    <col min="5379" max="5379" width="7.140625" style="4" customWidth="1"/>
    <col min="5380" max="5380" width="6.7109375" style="4" customWidth="1"/>
    <col min="5381" max="5381" width="6.5703125" style="4" customWidth="1"/>
    <col min="5382" max="5382" width="6.42578125" style="4" customWidth="1"/>
    <col min="5383" max="5383" width="6" style="4" customWidth="1"/>
    <col min="5384" max="5384" width="7.7109375" style="4" customWidth="1"/>
    <col min="5385" max="5385" width="8" style="4" customWidth="1"/>
    <col min="5386" max="5386" width="7.140625" style="4" customWidth="1"/>
    <col min="5387" max="5387" width="6.5703125" style="4" customWidth="1"/>
    <col min="5388" max="5388" width="5.42578125" style="4" customWidth="1"/>
    <col min="5389" max="5389" width="4.140625" style="4" customWidth="1"/>
    <col min="5390" max="5390" width="5.85546875" style="4" customWidth="1"/>
    <col min="5391" max="5391" width="4.7109375" style="4" customWidth="1"/>
    <col min="5392" max="5392" width="7.42578125" style="4" customWidth="1"/>
    <col min="5393" max="5393" width="8.140625" style="4" customWidth="1"/>
    <col min="5394" max="5394" width="8.28515625" style="4" customWidth="1"/>
    <col min="5395" max="5630" width="9.140625" style="4"/>
    <col min="5631" max="5631" width="3.7109375" style="4" customWidth="1"/>
    <col min="5632" max="5632" width="41.140625" style="4" customWidth="1"/>
    <col min="5633" max="5633" width="4.7109375" style="4" customWidth="1"/>
    <col min="5634" max="5634" width="4.85546875" style="4" customWidth="1"/>
    <col min="5635" max="5635" width="7.140625" style="4" customWidth="1"/>
    <col min="5636" max="5636" width="6.7109375" style="4" customWidth="1"/>
    <col min="5637" max="5637" width="6.5703125" style="4" customWidth="1"/>
    <col min="5638" max="5638" width="6.42578125" style="4" customWidth="1"/>
    <col min="5639" max="5639" width="6" style="4" customWidth="1"/>
    <col min="5640" max="5640" width="7.7109375" style="4" customWidth="1"/>
    <col min="5641" max="5641" width="8" style="4" customWidth="1"/>
    <col min="5642" max="5642" width="7.140625" style="4" customWidth="1"/>
    <col min="5643" max="5643" width="6.5703125" style="4" customWidth="1"/>
    <col min="5644" max="5644" width="5.42578125" style="4" customWidth="1"/>
    <col min="5645" max="5645" width="4.140625" style="4" customWidth="1"/>
    <col min="5646" max="5646" width="5.85546875" style="4" customWidth="1"/>
    <col min="5647" max="5647" width="4.7109375" style="4" customWidth="1"/>
    <col min="5648" max="5648" width="7.42578125" style="4" customWidth="1"/>
    <col min="5649" max="5649" width="8.140625" style="4" customWidth="1"/>
    <col min="5650" max="5650" width="8.28515625" style="4" customWidth="1"/>
    <col min="5651" max="5886" width="9.140625" style="4"/>
    <col min="5887" max="5887" width="3.7109375" style="4" customWidth="1"/>
    <col min="5888" max="5888" width="41.140625" style="4" customWidth="1"/>
    <col min="5889" max="5889" width="4.7109375" style="4" customWidth="1"/>
    <col min="5890" max="5890" width="4.85546875" style="4" customWidth="1"/>
    <col min="5891" max="5891" width="7.140625" style="4" customWidth="1"/>
    <col min="5892" max="5892" width="6.7109375" style="4" customWidth="1"/>
    <col min="5893" max="5893" width="6.5703125" style="4" customWidth="1"/>
    <col min="5894" max="5894" width="6.42578125" style="4" customWidth="1"/>
    <col min="5895" max="5895" width="6" style="4" customWidth="1"/>
    <col min="5896" max="5896" width="7.7109375" style="4" customWidth="1"/>
    <col min="5897" max="5897" width="8" style="4" customWidth="1"/>
    <col min="5898" max="5898" width="7.140625" style="4" customWidth="1"/>
    <col min="5899" max="5899" width="6.5703125" style="4" customWidth="1"/>
    <col min="5900" max="5900" width="5.42578125" style="4" customWidth="1"/>
    <col min="5901" max="5901" width="4.140625" style="4" customWidth="1"/>
    <col min="5902" max="5902" width="5.85546875" style="4" customWidth="1"/>
    <col min="5903" max="5903" width="4.7109375" style="4" customWidth="1"/>
    <col min="5904" max="5904" width="7.42578125" style="4" customWidth="1"/>
    <col min="5905" max="5905" width="8.140625" style="4" customWidth="1"/>
    <col min="5906" max="5906" width="8.28515625" style="4" customWidth="1"/>
    <col min="5907" max="6142" width="9.140625" style="4"/>
    <col min="6143" max="6143" width="3.7109375" style="4" customWidth="1"/>
    <col min="6144" max="6144" width="41.140625" style="4" customWidth="1"/>
    <col min="6145" max="6145" width="4.7109375" style="4" customWidth="1"/>
    <col min="6146" max="6146" width="4.85546875" style="4" customWidth="1"/>
    <col min="6147" max="6147" width="7.140625" style="4" customWidth="1"/>
    <col min="6148" max="6148" width="6.7109375" style="4" customWidth="1"/>
    <col min="6149" max="6149" width="6.5703125" style="4" customWidth="1"/>
    <col min="6150" max="6150" width="6.42578125" style="4" customWidth="1"/>
    <col min="6151" max="6151" width="6" style="4" customWidth="1"/>
    <col min="6152" max="6152" width="7.7109375" style="4" customWidth="1"/>
    <col min="6153" max="6153" width="8" style="4" customWidth="1"/>
    <col min="6154" max="6154" width="7.140625" style="4" customWidth="1"/>
    <col min="6155" max="6155" width="6.5703125" style="4" customWidth="1"/>
    <col min="6156" max="6156" width="5.42578125" style="4" customWidth="1"/>
    <col min="6157" max="6157" width="4.140625" style="4" customWidth="1"/>
    <col min="6158" max="6158" width="5.85546875" style="4" customWidth="1"/>
    <col min="6159" max="6159" width="4.7109375" style="4" customWidth="1"/>
    <col min="6160" max="6160" width="7.42578125" style="4" customWidth="1"/>
    <col min="6161" max="6161" width="8.140625" style="4" customWidth="1"/>
    <col min="6162" max="6162" width="8.28515625" style="4" customWidth="1"/>
    <col min="6163" max="6398" width="9.140625" style="4"/>
    <col min="6399" max="6399" width="3.7109375" style="4" customWidth="1"/>
    <col min="6400" max="6400" width="41.140625" style="4" customWidth="1"/>
    <col min="6401" max="6401" width="4.7109375" style="4" customWidth="1"/>
    <col min="6402" max="6402" width="4.85546875" style="4" customWidth="1"/>
    <col min="6403" max="6403" width="7.140625" style="4" customWidth="1"/>
    <col min="6404" max="6404" width="6.7109375" style="4" customWidth="1"/>
    <col min="6405" max="6405" width="6.5703125" style="4" customWidth="1"/>
    <col min="6406" max="6406" width="6.42578125" style="4" customWidth="1"/>
    <col min="6407" max="6407" width="6" style="4" customWidth="1"/>
    <col min="6408" max="6408" width="7.7109375" style="4" customWidth="1"/>
    <col min="6409" max="6409" width="8" style="4" customWidth="1"/>
    <col min="6410" max="6410" width="7.140625" style="4" customWidth="1"/>
    <col min="6411" max="6411" width="6.5703125" style="4" customWidth="1"/>
    <col min="6412" max="6412" width="5.42578125" style="4" customWidth="1"/>
    <col min="6413" max="6413" width="4.140625" style="4" customWidth="1"/>
    <col min="6414" max="6414" width="5.85546875" style="4" customWidth="1"/>
    <col min="6415" max="6415" width="4.7109375" style="4" customWidth="1"/>
    <col min="6416" max="6416" width="7.42578125" style="4" customWidth="1"/>
    <col min="6417" max="6417" width="8.140625" style="4" customWidth="1"/>
    <col min="6418" max="6418" width="8.28515625" style="4" customWidth="1"/>
    <col min="6419" max="6654" width="9.140625" style="4"/>
    <col min="6655" max="6655" width="3.7109375" style="4" customWidth="1"/>
    <col min="6656" max="6656" width="41.140625" style="4" customWidth="1"/>
    <col min="6657" max="6657" width="4.7109375" style="4" customWidth="1"/>
    <col min="6658" max="6658" width="4.85546875" style="4" customWidth="1"/>
    <col min="6659" max="6659" width="7.140625" style="4" customWidth="1"/>
    <col min="6660" max="6660" width="6.7109375" style="4" customWidth="1"/>
    <col min="6661" max="6661" width="6.5703125" style="4" customWidth="1"/>
    <col min="6662" max="6662" width="6.42578125" style="4" customWidth="1"/>
    <col min="6663" max="6663" width="6" style="4" customWidth="1"/>
    <col min="6664" max="6664" width="7.7109375" style="4" customWidth="1"/>
    <col min="6665" max="6665" width="8" style="4" customWidth="1"/>
    <col min="6666" max="6666" width="7.140625" style="4" customWidth="1"/>
    <col min="6667" max="6667" width="6.5703125" style="4" customWidth="1"/>
    <col min="6668" max="6668" width="5.42578125" style="4" customWidth="1"/>
    <col min="6669" max="6669" width="4.140625" style="4" customWidth="1"/>
    <col min="6670" max="6670" width="5.85546875" style="4" customWidth="1"/>
    <col min="6671" max="6671" width="4.7109375" style="4" customWidth="1"/>
    <col min="6672" max="6672" width="7.42578125" style="4" customWidth="1"/>
    <col min="6673" max="6673" width="8.140625" style="4" customWidth="1"/>
    <col min="6674" max="6674" width="8.28515625" style="4" customWidth="1"/>
    <col min="6675" max="6910" width="9.140625" style="4"/>
    <col min="6911" max="6911" width="3.7109375" style="4" customWidth="1"/>
    <col min="6912" max="6912" width="41.140625" style="4" customWidth="1"/>
    <col min="6913" max="6913" width="4.7109375" style="4" customWidth="1"/>
    <col min="6914" max="6914" width="4.85546875" style="4" customWidth="1"/>
    <col min="6915" max="6915" width="7.140625" style="4" customWidth="1"/>
    <col min="6916" max="6916" width="6.7109375" style="4" customWidth="1"/>
    <col min="6917" max="6917" width="6.5703125" style="4" customWidth="1"/>
    <col min="6918" max="6918" width="6.42578125" style="4" customWidth="1"/>
    <col min="6919" max="6919" width="6" style="4" customWidth="1"/>
    <col min="6920" max="6920" width="7.7109375" style="4" customWidth="1"/>
    <col min="6921" max="6921" width="8" style="4" customWidth="1"/>
    <col min="6922" max="6922" width="7.140625" style="4" customWidth="1"/>
    <col min="6923" max="6923" width="6.5703125" style="4" customWidth="1"/>
    <col min="6924" max="6924" width="5.42578125" style="4" customWidth="1"/>
    <col min="6925" max="6925" width="4.140625" style="4" customWidth="1"/>
    <col min="6926" max="6926" width="5.85546875" style="4" customWidth="1"/>
    <col min="6927" max="6927" width="4.7109375" style="4" customWidth="1"/>
    <col min="6928" max="6928" width="7.42578125" style="4" customWidth="1"/>
    <col min="6929" max="6929" width="8.140625" style="4" customWidth="1"/>
    <col min="6930" max="6930" width="8.28515625" style="4" customWidth="1"/>
    <col min="6931" max="7166" width="9.140625" style="4"/>
    <col min="7167" max="7167" width="3.7109375" style="4" customWidth="1"/>
    <col min="7168" max="7168" width="41.140625" style="4" customWidth="1"/>
    <col min="7169" max="7169" width="4.7109375" style="4" customWidth="1"/>
    <col min="7170" max="7170" width="4.85546875" style="4" customWidth="1"/>
    <col min="7171" max="7171" width="7.140625" style="4" customWidth="1"/>
    <col min="7172" max="7172" width="6.7109375" style="4" customWidth="1"/>
    <col min="7173" max="7173" width="6.5703125" style="4" customWidth="1"/>
    <col min="7174" max="7174" width="6.42578125" style="4" customWidth="1"/>
    <col min="7175" max="7175" width="6" style="4" customWidth="1"/>
    <col min="7176" max="7176" width="7.7109375" style="4" customWidth="1"/>
    <col min="7177" max="7177" width="8" style="4" customWidth="1"/>
    <col min="7178" max="7178" width="7.140625" style="4" customWidth="1"/>
    <col min="7179" max="7179" width="6.5703125" style="4" customWidth="1"/>
    <col min="7180" max="7180" width="5.42578125" style="4" customWidth="1"/>
    <col min="7181" max="7181" width="4.140625" style="4" customWidth="1"/>
    <col min="7182" max="7182" width="5.85546875" style="4" customWidth="1"/>
    <col min="7183" max="7183" width="4.7109375" style="4" customWidth="1"/>
    <col min="7184" max="7184" width="7.42578125" style="4" customWidth="1"/>
    <col min="7185" max="7185" width="8.140625" style="4" customWidth="1"/>
    <col min="7186" max="7186" width="8.28515625" style="4" customWidth="1"/>
    <col min="7187" max="7422" width="9.140625" style="4"/>
    <col min="7423" max="7423" width="3.7109375" style="4" customWidth="1"/>
    <col min="7424" max="7424" width="41.140625" style="4" customWidth="1"/>
    <col min="7425" max="7425" width="4.7109375" style="4" customWidth="1"/>
    <col min="7426" max="7426" width="4.85546875" style="4" customWidth="1"/>
    <col min="7427" max="7427" width="7.140625" style="4" customWidth="1"/>
    <col min="7428" max="7428" width="6.7109375" style="4" customWidth="1"/>
    <col min="7429" max="7429" width="6.5703125" style="4" customWidth="1"/>
    <col min="7430" max="7430" width="6.42578125" style="4" customWidth="1"/>
    <col min="7431" max="7431" width="6" style="4" customWidth="1"/>
    <col min="7432" max="7432" width="7.7109375" style="4" customWidth="1"/>
    <col min="7433" max="7433" width="8" style="4" customWidth="1"/>
    <col min="7434" max="7434" width="7.140625" style="4" customWidth="1"/>
    <col min="7435" max="7435" width="6.5703125" style="4" customWidth="1"/>
    <col min="7436" max="7436" width="5.42578125" style="4" customWidth="1"/>
    <col min="7437" max="7437" width="4.140625" style="4" customWidth="1"/>
    <col min="7438" max="7438" width="5.85546875" style="4" customWidth="1"/>
    <col min="7439" max="7439" width="4.7109375" style="4" customWidth="1"/>
    <col min="7440" max="7440" width="7.42578125" style="4" customWidth="1"/>
    <col min="7441" max="7441" width="8.140625" style="4" customWidth="1"/>
    <col min="7442" max="7442" width="8.28515625" style="4" customWidth="1"/>
    <col min="7443" max="7678" width="9.140625" style="4"/>
    <col min="7679" max="7679" width="3.7109375" style="4" customWidth="1"/>
    <col min="7680" max="7680" width="41.140625" style="4" customWidth="1"/>
    <col min="7681" max="7681" width="4.7109375" style="4" customWidth="1"/>
    <col min="7682" max="7682" width="4.85546875" style="4" customWidth="1"/>
    <col min="7683" max="7683" width="7.140625" style="4" customWidth="1"/>
    <col min="7684" max="7684" width="6.7109375" style="4" customWidth="1"/>
    <col min="7685" max="7685" width="6.5703125" style="4" customWidth="1"/>
    <col min="7686" max="7686" width="6.42578125" style="4" customWidth="1"/>
    <col min="7687" max="7687" width="6" style="4" customWidth="1"/>
    <col min="7688" max="7688" width="7.7109375" style="4" customWidth="1"/>
    <col min="7689" max="7689" width="8" style="4" customWidth="1"/>
    <col min="7690" max="7690" width="7.140625" style="4" customWidth="1"/>
    <col min="7691" max="7691" width="6.5703125" style="4" customWidth="1"/>
    <col min="7692" max="7692" width="5.42578125" style="4" customWidth="1"/>
    <col min="7693" max="7693" width="4.140625" style="4" customWidth="1"/>
    <col min="7694" max="7694" width="5.85546875" style="4" customWidth="1"/>
    <col min="7695" max="7695" width="4.7109375" style="4" customWidth="1"/>
    <col min="7696" max="7696" width="7.42578125" style="4" customWidth="1"/>
    <col min="7697" max="7697" width="8.140625" style="4" customWidth="1"/>
    <col min="7698" max="7698" width="8.28515625" style="4" customWidth="1"/>
    <col min="7699" max="7934" width="9.140625" style="4"/>
    <col min="7935" max="7935" width="3.7109375" style="4" customWidth="1"/>
    <col min="7936" max="7936" width="41.140625" style="4" customWidth="1"/>
    <col min="7937" max="7937" width="4.7109375" style="4" customWidth="1"/>
    <col min="7938" max="7938" width="4.85546875" style="4" customWidth="1"/>
    <col min="7939" max="7939" width="7.140625" style="4" customWidth="1"/>
    <col min="7940" max="7940" width="6.7109375" style="4" customWidth="1"/>
    <col min="7941" max="7941" width="6.5703125" style="4" customWidth="1"/>
    <col min="7942" max="7942" width="6.42578125" style="4" customWidth="1"/>
    <col min="7943" max="7943" width="6" style="4" customWidth="1"/>
    <col min="7944" max="7944" width="7.7109375" style="4" customWidth="1"/>
    <col min="7945" max="7945" width="8" style="4" customWidth="1"/>
    <col min="7946" max="7946" width="7.140625" style="4" customWidth="1"/>
    <col min="7947" max="7947" width="6.5703125" style="4" customWidth="1"/>
    <col min="7948" max="7948" width="5.42578125" style="4" customWidth="1"/>
    <col min="7949" max="7949" width="4.140625" style="4" customWidth="1"/>
    <col min="7950" max="7950" width="5.85546875" style="4" customWidth="1"/>
    <col min="7951" max="7951" width="4.7109375" style="4" customWidth="1"/>
    <col min="7952" max="7952" width="7.42578125" style="4" customWidth="1"/>
    <col min="7953" max="7953" width="8.140625" style="4" customWidth="1"/>
    <col min="7954" max="7954" width="8.28515625" style="4" customWidth="1"/>
    <col min="7955" max="8190" width="9.140625" style="4"/>
    <col min="8191" max="8191" width="3.7109375" style="4" customWidth="1"/>
    <col min="8192" max="8192" width="41.140625" style="4" customWidth="1"/>
    <col min="8193" max="8193" width="4.7109375" style="4" customWidth="1"/>
    <col min="8194" max="8194" width="4.85546875" style="4" customWidth="1"/>
    <col min="8195" max="8195" width="7.140625" style="4" customWidth="1"/>
    <col min="8196" max="8196" width="6.7109375" style="4" customWidth="1"/>
    <col min="8197" max="8197" width="6.5703125" style="4" customWidth="1"/>
    <col min="8198" max="8198" width="6.42578125" style="4" customWidth="1"/>
    <col min="8199" max="8199" width="6" style="4" customWidth="1"/>
    <col min="8200" max="8200" width="7.7109375" style="4" customWidth="1"/>
    <col min="8201" max="8201" width="8" style="4" customWidth="1"/>
    <col min="8202" max="8202" width="7.140625" style="4" customWidth="1"/>
    <col min="8203" max="8203" width="6.5703125" style="4" customWidth="1"/>
    <col min="8204" max="8204" width="5.42578125" style="4" customWidth="1"/>
    <col min="8205" max="8205" width="4.140625" style="4" customWidth="1"/>
    <col min="8206" max="8206" width="5.85546875" style="4" customWidth="1"/>
    <col min="8207" max="8207" width="4.7109375" style="4" customWidth="1"/>
    <col min="8208" max="8208" width="7.42578125" style="4" customWidth="1"/>
    <col min="8209" max="8209" width="8.140625" style="4" customWidth="1"/>
    <col min="8210" max="8210" width="8.28515625" style="4" customWidth="1"/>
    <col min="8211" max="8446" width="9.140625" style="4"/>
    <col min="8447" max="8447" width="3.7109375" style="4" customWidth="1"/>
    <col min="8448" max="8448" width="41.140625" style="4" customWidth="1"/>
    <col min="8449" max="8449" width="4.7109375" style="4" customWidth="1"/>
    <col min="8450" max="8450" width="4.85546875" style="4" customWidth="1"/>
    <col min="8451" max="8451" width="7.140625" style="4" customWidth="1"/>
    <col min="8452" max="8452" width="6.7109375" style="4" customWidth="1"/>
    <col min="8453" max="8453" width="6.5703125" style="4" customWidth="1"/>
    <col min="8454" max="8454" width="6.42578125" style="4" customWidth="1"/>
    <col min="8455" max="8455" width="6" style="4" customWidth="1"/>
    <col min="8456" max="8456" width="7.7109375" style="4" customWidth="1"/>
    <col min="8457" max="8457" width="8" style="4" customWidth="1"/>
    <col min="8458" max="8458" width="7.140625" style="4" customWidth="1"/>
    <col min="8459" max="8459" width="6.5703125" style="4" customWidth="1"/>
    <col min="8460" max="8460" width="5.42578125" style="4" customWidth="1"/>
    <col min="8461" max="8461" width="4.140625" style="4" customWidth="1"/>
    <col min="8462" max="8462" width="5.85546875" style="4" customWidth="1"/>
    <col min="8463" max="8463" width="4.7109375" style="4" customWidth="1"/>
    <col min="8464" max="8464" width="7.42578125" style="4" customWidth="1"/>
    <col min="8465" max="8465" width="8.140625" style="4" customWidth="1"/>
    <col min="8466" max="8466" width="8.28515625" style="4" customWidth="1"/>
    <col min="8467" max="8702" width="9.140625" style="4"/>
    <col min="8703" max="8703" width="3.7109375" style="4" customWidth="1"/>
    <col min="8704" max="8704" width="41.140625" style="4" customWidth="1"/>
    <col min="8705" max="8705" width="4.7109375" style="4" customWidth="1"/>
    <col min="8706" max="8706" width="4.85546875" style="4" customWidth="1"/>
    <col min="8707" max="8707" width="7.140625" style="4" customWidth="1"/>
    <col min="8708" max="8708" width="6.7109375" style="4" customWidth="1"/>
    <col min="8709" max="8709" width="6.5703125" style="4" customWidth="1"/>
    <col min="8710" max="8710" width="6.42578125" style="4" customWidth="1"/>
    <col min="8711" max="8711" width="6" style="4" customWidth="1"/>
    <col min="8712" max="8712" width="7.7109375" style="4" customWidth="1"/>
    <col min="8713" max="8713" width="8" style="4" customWidth="1"/>
    <col min="8714" max="8714" width="7.140625" style="4" customWidth="1"/>
    <col min="8715" max="8715" width="6.5703125" style="4" customWidth="1"/>
    <col min="8716" max="8716" width="5.42578125" style="4" customWidth="1"/>
    <col min="8717" max="8717" width="4.140625" style="4" customWidth="1"/>
    <col min="8718" max="8718" width="5.85546875" style="4" customWidth="1"/>
    <col min="8719" max="8719" width="4.7109375" style="4" customWidth="1"/>
    <col min="8720" max="8720" width="7.42578125" style="4" customWidth="1"/>
    <col min="8721" max="8721" width="8.140625" style="4" customWidth="1"/>
    <col min="8722" max="8722" width="8.28515625" style="4" customWidth="1"/>
    <col min="8723" max="8958" width="9.140625" style="4"/>
    <col min="8959" max="8959" width="3.7109375" style="4" customWidth="1"/>
    <col min="8960" max="8960" width="41.140625" style="4" customWidth="1"/>
    <col min="8961" max="8961" width="4.7109375" style="4" customWidth="1"/>
    <col min="8962" max="8962" width="4.85546875" style="4" customWidth="1"/>
    <col min="8963" max="8963" width="7.140625" style="4" customWidth="1"/>
    <col min="8964" max="8964" width="6.7109375" style="4" customWidth="1"/>
    <col min="8965" max="8965" width="6.5703125" style="4" customWidth="1"/>
    <col min="8966" max="8966" width="6.42578125" style="4" customWidth="1"/>
    <col min="8967" max="8967" width="6" style="4" customWidth="1"/>
    <col min="8968" max="8968" width="7.7109375" style="4" customWidth="1"/>
    <col min="8969" max="8969" width="8" style="4" customWidth="1"/>
    <col min="8970" max="8970" width="7.140625" style="4" customWidth="1"/>
    <col min="8971" max="8971" width="6.5703125" style="4" customWidth="1"/>
    <col min="8972" max="8972" width="5.42578125" style="4" customWidth="1"/>
    <col min="8973" max="8973" width="4.140625" style="4" customWidth="1"/>
    <col min="8974" max="8974" width="5.85546875" style="4" customWidth="1"/>
    <col min="8975" max="8975" width="4.7109375" style="4" customWidth="1"/>
    <col min="8976" max="8976" width="7.42578125" style="4" customWidth="1"/>
    <col min="8977" max="8977" width="8.140625" style="4" customWidth="1"/>
    <col min="8978" max="8978" width="8.28515625" style="4" customWidth="1"/>
    <col min="8979" max="9214" width="9.140625" style="4"/>
    <col min="9215" max="9215" width="3.7109375" style="4" customWidth="1"/>
    <col min="9216" max="9216" width="41.140625" style="4" customWidth="1"/>
    <col min="9217" max="9217" width="4.7109375" style="4" customWidth="1"/>
    <col min="9218" max="9218" width="4.85546875" style="4" customWidth="1"/>
    <col min="9219" max="9219" width="7.140625" style="4" customWidth="1"/>
    <col min="9220" max="9220" width="6.7109375" style="4" customWidth="1"/>
    <col min="9221" max="9221" width="6.5703125" style="4" customWidth="1"/>
    <col min="9222" max="9222" width="6.42578125" style="4" customWidth="1"/>
    <col min="9223" max="9223" width="6" style="4" customWidth="1"/>
    <col min="9224" max="9224" width="7.7109375" style="4" customWidth="1"/>
    <col min="9225" max="9225" width="8" style="4" customWidth="1"/>
    <col min="9226" max="9226" width="7.140625" style="4" customWidth="1"/>
    <col min="9227" max="9227" width="6.5703125" style="4" customWidth="1"/>
    <col min="9228" max="9228" width="5.42578125" style="4" customWidth="1"/>
    <col min="9229" max="9229" width="4.140625" style="4" customWidth="1"/>
    <col min="9230" max="9230" width="5.85546875" style="4" customWidth="1"/>
    <col min="9231" max="9231" width="4.7109375" style="4" customWidth="1"/>
    <col min="9232" max="9232" width="7.42578125" style="4" customWidth="1"/>
    <col min="9233" max="9233" width="8.140625" style="4" customWidth="1"/>
    <col min="9234" max="9234" width="8.28515625" style="4" customWidth="1"/>
    <col min="9235" max="9470" width="9.140625" style="4"/>
    <col min="9471" max="9471" width="3.7109375" style="4" customWidth="1"/>
    <col min="9472" max="9472" width="41.140625" style="4" customWidth="1"/>
    <col min="9473" max="9473" width="4.7109375" style="4" customWidth="1"/>
    <col min="9474" max="9474" width="4.85546875" style="4" customWidth="1"/>
    <col min="9475" max="9475" width="7.140625" style="4" customWidth="1"/>
    <col min="9476" max="9476" width="6.7109375" style="4" customWidth="1"/>
    <col min="9477" max="9477" width="6.5703125" style="4" customWidth="1"/>
    <col min="9478" max="9478" width="6.42578125" style="4" customWidth="1"/>
    <col min="9479" max="9479" width="6" style="4" customWidth="1"/>
    <col min="9480" max="9480" width="7.7109375" style="4" customWidth="1"/>
    <col min="9481" max="9481" width="8" style="4" customWidth="1"/>
    <col min="9482" max="9482" width="7.140625" style="4" customWidth="1"/>
    <col min="9483" max="9483" width="6.5703125" style="4" customWidth="1"/>
    <col min="9484" max="9484" width="5.42578125" style="4" customWidth="1"/>
    <col min="9485" max="9485" width="4.140625" style="4" customWidth="1"/>
    <col min="9486" max="9486" width="5.85546875" style="4" customWidth="1"/>
    <col min="9487" max="9487" width="4.7109375" style="4" customWidth="1"/>
    <col min="9488" max="9488" width="7.42578125" style="4" customWidth="1"/>
    <col min="9489" max="9489" width="8.140625" style="4" customWidth="1"/>
    <col min="9490" max="9490" width="8.28515625" style="4" customWidth="1"/>
    <col min="9491" max="9726" width="9.140625" style="4"/>
    <col min="9727" max="9727" width="3.7109375" style="4" customWidth="1"/>
    <col min="9728" max="9728" width="41.140625" style="4" customWidth="1"/>
    <col min="9729" max="9729" width="4.7109375" style="4" customWidth="1"/>
    <col min="9730" max="9730" width="4.85546875" style="4" customWidth="1"/>
    <col min="9731" max="9731" width="7.140625" style="4" customWidth="1"/>
    <col min="9732" max="9732" width="6.7109375" style="4" customWidth="1"/>
    <col min="9733" max="9733" width="6.5703125" style="4" customWidth="1"/>
    <col min="9734" max="9734" width="6.42578125" style="4" customWidth="1"/>
    <col min="9735" max="9735" width="6" style="4" customWidth="1"/>
    <col min="9736" max="9736" width="7.7109375" style="4" customWidth="1"/>
    <col min="9737" max="9737" width="8" style="4" customWidth="1"/>
    <col min="9738" max="9738" width="7.140625" style="4" customWidth="1"/>
    <col min="9739" max="9739" width="6.5703125" style="4" customWidth="1"/>
    <col min="9740" max="9740" width="5.42578125" style="4" customWidth="1"/>
    <col min="9741" max="9741" width="4.140625" style="4" customWidth="1"/>
    <col min="9742" max="9742" width="5.85546875" style="4" customWidth="1"/>
    <col min="9743" max="9743" width="4.7109375" style="4" customWidth="1"/>
    <col min="9744" max="9744" width="7.42578125" style="4" customWidth="1"/>
    <col min="9745" max="9745" width="8.140625" style="4" customWidth="1"/>
    <col min="9746" max="9746" width="8.28515625" style="4" customWidth="1"/>
    <col min="9747" max="9982" width="9.140625" style="4"/>
    <col min="9983" max="9983" width="3.7109375" style="4" customWidth="1"/>
    <col min="9984" max="9984" width="41.140625" style="4" customWidth="1"/>
    <col min="9985" max="9985" width="4.7109375" style="4" customWidth="1"/>
    <col min="9986" max="9986" width="4.85546875" style="4" customWidth="1"/>
    <col min="9987" max="9987" width="7.140625" style="4" customWidth="1"/>
    <col min="9988" max="9988" width="6.7109375" style="4" customWidth="1"/>
    <col min="9989" max="9989" width="6.5703125" style="4" customWidth="1"/>
    <col min="9990" max="9990" width="6.42578125" style="4" customWidth="1"/>
    <col min="9991" max="9991" width="6" style="4" customWidth="1"/>
    <col min="9992" max="9992" width="7.7109375" style="4" customWidth="1"/>
    <col min="9993" max="9993" width="8" style="4" customWidth="1"/>
    <col min="9994" max="9994" width="7.140625" style="4" customWidth="1"/>
    <col min="9995" max="9995" width="6.5703125" style="4" customWidth="1"/>
    <col min="9996" max="9996" width="5.42578125" style="4" customWidth="1"/>
    <col min="9997" max="9997" width="4.140625" style="4" customWidth="1"/>
    <col min="9998" max="9998" width="5.85546875" style="4" customWidth="1"/>
    <col min="9999" max="9999" width="4.7109375" style="4" customWidth="1"/>
    <col min="10000" max="10000" width="7.42578125" style="4" customWidth="1"/>
    <col min="10001" max="10001" width="8.140625" style="4" customWidth="1"/>
    <col min="10002" max="10002" width="8.28515625" style="4" customWidth="1"/>
    <col min="10003" max="10238" width="9.140625" style="4"/>
    <col min="10239" max="10239" width="3.7109375" style="4" customWidth="1"/>
    <col min="10240" max="10240" width="41.140625" style="4" customWidth="1"/>
    <col min="10241" max="10241" width="4.7109375" style="4" customWidth="1"/>
    <col min="10242" max="10242" width="4.85546875" style="4" customWidth="1"/>
    <col min="10243" max="10243" width="7.140625" style="4" customWidth="1"/>
    <col min="10244" max="10244" width="6.7109375" style="4" customWidth="1"/>
    <col min="10245" max="10245" width="6.5703125" style="4" customWidth="1"/>
    <col min="10246" max="10246" width="6.42578125" style="4" customWidth="1"/>
    <col min="10247" max="10247" width="6" style="4" customWidth="1"/>
    <col min="10248" max="10248" width="7.7109375" style="4" customWidth="1"/>
    <col min="10249" max="10249" width="8" style="4" customWidth="1"/>
    <col min="10250" max="10250" width="7.140625" style="4" customWidth="1"/>
    <col min="10251" max="10251" width="6.5703125" style="4" customWidth="1"/>
    <col min="10252" max="10252" width="5.42578125" style="4" customWidth="1"/>
    <col min="10253" max="10253" width="4.140625" style="4" customWidth="1"/>
    <col min="10254" max="10254" width="5.85546875" style="4" customWidth="1"/>
    <col min="10255" max="10255" width="4.7109375" style="4" customWidth="1"/>
    <col min="10256" max="10256" width="7.42578125" style="4" customWidth="1"/>
    <col min="10257" max="10257" width="8.140625" style="4" customWidth="1"/>
    <col min="10258" max="10258" width="8.28515625" style="4" customWidth="1"/>
    <col min="10259" max="10494" width="9.140625" style="4"/>
    <col min="10495" max="10495" width="3.7109375" style="4" customWidth="1"/>
    <col min="10496" max="10496" width="41.140625" style="4" customWidth="1"/>
    <col min="10497" max="10497" width="4.7109375" style="4" customWidth="1"/>
    <col min="10498" max="10498" width="4.85546875" style="4" customWidth="1"/>
    <col min="10499" max="10499" width="7.140625" style="4" customWidth="1"/>
    <col min="10500" max="10500" width="6.7109375" style="4" customWidth="1"/>
    <col min="10501" max="10501" width="6.5703125" style="4" customWidth="1"/>
    <col min="10502" max="10502" width="6.42578125" style="4" customWidth="1"/>
    <col min="10503" max="10503" width="6" style="4" customWidth="1"/>
    <col min="10504" max="10504" width="7.7109375" style="4" customWidth="1"/>
    <col min="10505" max="10505" width="8" style="4" customWidth="1"/>
    <col min="10506" max="10506" width="7.140625" style="4" customWidth="1"/>
    <col min="10507" max="10507" width="6.5703125" style="4" customWidth="1"/>
    <col min="10508" max="10508" width="5.42578125" style="4" customWidth="1"/>
    <col min="10509" max="10509" width="4.140625" style="4" customWidth="1"/>
    <col min="10510" max="10510" width="5.85546875" style="4" customWidth="1"/>
    <col min="10511" max="10511" width="4.7109375" style="4" customWidth="1"/>
    <col min="10512" max="10512" width="7.42578125" style="4" customWidth="1"/>
    <col min="10513" max="10513" width="8.140625" style="4" customWidth="1"/>
    <col min="10514" max="10514" width="8.28515625" style="4" customWidth="1"/>
    <col min="10515" max="10750" width="9.140625" style="4"/>
    <col min="10751" max="10751" width="3.7109375" style="4" customWidth="1"/>
    <col min="10752" max="10752" width="41.140625" style="4" customWidth="1"/>
    <col min="10753" max="10753" width="4.7109375" style="4" customWidth="1"/>
    <col min="10754" max="10754" width="4.85546875" style="4" customWidth="1"/>
    <col min="10755" max="10755" width="7.140625" style="4" customWidth="1"/>
    <col min="10756" max="10756" width="6.7109375" style="4" customWidth="1"/>
    <col min="10757" max="10757" width="6.5703125" style="4" customWidth="1"/>
    <col min="10758" max="10758" width="6.42578125" style="4" customWidth="1"/>
    <col min="10759" max="10759" width="6" style="4" customWidth="1"/>
    <col min="10760" max="10760" width="7.7109375" style="4" customWidth="1"/>
    <col min="10761" max="10761" width="8" style="4" customWidth="1"/>
    <col min="10762" max="10762" width="7.140625" style="4" customWidth="1"/>
    <col min="10763" max="10763" width="6.5703125" style="4" customWidth="1"/>
    <col min="10764" max="10764" width="5.42578125" style="4" customWidth="1"/>
    <col min="10765" max="10765" width="4.140625" style="4" customWidth="1"/>
    <col min="10766" max="10766" width="5.85546875" style="4" customWidth="1"/>
    <col min="10767" max="10767" width="4.7109375" style="4" customWidth="1"/>
    <col min="10768" max="10768" width="7.42578125" style="4" customWidth="1"/>
    <col min="10769" max="10769" width="8.140625" style="4" customWidth="1"/>
    <col min="10770" max="10770" width="8.28515625" style="4" customWidth="1"/>
    <col min="10771" max="11006" width="9.140625" style="4"/>
    <col min="11007" max="11007" width="3.7109375" style="4" customWidth="1"/>
    <col min="11008" max="11008" width="41.140625" style="4" customWidth="1"/>
    <col min="11009" max="11009" width="4.7109375" style="4" customWidth="1"/>
    <col min="11010" max="11010" width="4.85546875" style="4" customWidth="1"/>
    <col min="11011" max="11011" width="7.140625" style="4" customWidth="1"/>
    <col min="11012" max="11012" width="6.7109375" style="4" customWidth="1"/>
    <col min="11013" max="11013" width="6.5703125" style="4" customWidth="1"/>
    <col min="11014" max="11014" width="6.42578125" style="4" customWidth="1"/>
    <col min="11015" max="11015" width="6" style="4" customWidth="1"/>
    <col min="11016" max="11016" width="7.7109375" style="4" customWidth="1"/>
    <col min="11017" max="11017" width="8" style="4" customWidth="1"/>
    <col min="11018" max="11018" width="7.140625" style="4" customWidth="1"/>
    <col min="11019" max="11019" width="6.5703125" style="4" customWidth="1"/>
    <col min="11020" max="11020" width="5.42578125" style="4" customWidth="1"/>
    <col min="11021" max="11021" width="4.140625" style="4" customWidth="1"/>
    <col min="11022" max="11022" width="5.85546875" style="4" customWidth="1"/>
    <col min="11023" max="11023" width="4.7109375" style="4" customWidth="1"/>
    <col min="11024" max="11024" width="7.42578125" style="4" customWidth="1"/>
    <col min="11025" max="11025" width="8.140625" style="4" customWidth="1"/>
    <col min="11026" max="11026" width="8.28515625" style="4" customWidth="1"/>
    <col min="11027" max="11262" width="9.140625" style="4"/>
    <col min="11263" max="11263" width="3.7109375" style="4" customWidth="1"/>
    <col min="11264" max="11264" width="41.140625" style="4" customWidth="1"/>
    <col min="11265" max="11265" width="4.7109375" style="4" customWidth="1"/>
    <col min="11266" max="11266" width="4.85546875" style="4" customWidth="1"/>
    <col min="11267" max="11267" width="7.140625" style="4" customWidth="1"/>
    <col min="11268" max="11268" width="6.7109375" style="4" customWidth="1"/>
    <col min="11269" max="11269" width="6.5703125" style="4" customWidth="1"/>
    <col min="11270" max="11270" width="6.42578125" style="4" customWidth="1"/>
    <col min="11271" max="11271" width="6" style="4" customWidth="1"/>
    <col min="11272" max="11272" width="7.7109375" style="4" customWidth="1"/>
    <col min="11273" max="11273" width="8" style="4" customWidth="1"/>
    <col min="11274" max="11274" width="7.140625" style="4" customWidth="1"/>
    <col min="11275" max="11275" width="6.5703125" style="4" customWidth="1"/>
    <col min="11276" max="11276" width="5.42578125" style="4" customWidth="1"/>
    <col min="11277" max="11277" width="4.140625" style="4" customWidth="1"/>
    <col min="11278" max="11278" width="5.85546875" style="4" customWidth="1"/>
    <col min="11279" max="11279" width="4.7109375" style="4" customWidth="1"/>
    <col min="11280" max="11280" width="7.42578125" style="4" customWidth="1"/>
    <col min="11281" max="11281" width="8.140625" style="4" customWidth="1"/>
    <col min="11282" max="11282" width="8.28515625" style="4" customWidth="1"/>
    <col min="11283" max="11518" width="9.140625" style="4"/>
    <col min="11519" max="11519" width="3.7109375" style="4" customWidth="1"/>
    <col min="11520" max="11520" width="41.140625" style="4" customWidth="1"/>
    <col min="11521" max="11521" width="4.7109375" style="4" customWidth="1"/>
    <col min="11522" max="11522" width="4.85546875" style="4" customWidth="1"/>
    <col min="11523" max="11523" width="7.140625" style="4" customWidth="1"/>
    <col min="11524" max="11524" width="6.7109375" style="4" customWidth="1"/>
    <col min="11525" max="11525" width="6.5703125" style="4" customWidth="1"/>
    <col min="11526" max="11526" width="6.42578125" style="4" customWidth="1"/>
    <col min="11527" max="11527" width="6" style="4" customWidth="1"/>
    <col min="11528" max="11528" width="7.7109375" style="4" customWidth="1"/>
    <col min="11529" max="11529" width="8" style="4" customWidth="1"/>
    <col min="11530" max="11530" width="7.140625" style="4" customWidth="1"/>
    <col min="11531" max="11531" width="6.5703125" style="4" customWidth="1"/>
    <col min="11532" max="11532" width="5.42578125" style="4" customWidth="1"/>
    <col min="11533" max="11533" width="4.140625" style="4" customWidth="1"/>
    <col min="11534" max="11534" width="5.85546875" style="4" customWidth="1"/>
    <col min="11535" max="11535" width="4.7109375" style="4" customWidth="1"/>
    <col min="11536" max="11536" width="7.42578125" style="4" customWidth="1"/>
    <col min="11537" max="11537" width="8.140625" style="4" customWidth="1"/>
    <col min="11538" max="11538" width="8.28515625" style="4" customWidth="1"/>
    <col min="11539" max="11774" width="9.140625" style="4"/>
    <col min="11775" max="11775" width="3.7109375" style="4" customWidth="1"/>
    <col min="11776" max="11776" width="41.140625" style="4" customWidth="1"/>
    <col min="11777" max="11777" width="4.7109375" style="4" customWidth="1"/>
    <col min="11778" max="11778" width="4.85546875" style="4" customWidth="1"/>
    <col min="11779" max="11779" width="7.140625" style="4" customWidth="1"/>
    <col min="11780" max="11780" width="6.7109375" style="4" customWidth="1"/>
    <col min="11781" max="11781" width="6.5703125" style="4" customWidth="1"/>
    <col min="11782" max="11782" width="6.42578125" style="4" customWidth="1"/>
    <col min="11783" max="11783" width="6" style="4" customWidth="1"/>
    <col min="11784" max="11784" width="7.7109375" style="4" customWidth="1"/>
    <col min="11785" max="11785" width="8" style="4" customWidth="1"/>
    <col min="11786" max="11786" width="7.140625" style="4" customWidth="1"/>
    <col min="11787" max="11787" width="6.5703125" style="4" customWidth="1"/>
    <col min="11788" max="11788" width="5.42578125" style="4" customWidth="1"/>
    <col min="11789" max="11789" width="4.140625" style="4" customWidth="1"/>
    <col min="11790" max="11790" width="5.85546875" style="4" customWidth="1"/>
    <col min="11791" max="11791" width="4.7109375" style="4" customWidth="1"/>
    <col min="11792" max="11792" width="7.42578125" style="4" customWidth="1"/>
    <col min="11793" max="11793" width="8.140625" style="4" customWidth="1"/>
    <col min="11794" max="11794" width="8.28515625" style="4" customWidth="1"/>
    <col min="11795" max="12030" width="9.140625" style="4"/>
    <col min="12031" max="12031" width="3.7109375" style="4" customWidth="1"/>
    <col min="12032" max="12032" width="41.140625" style="4" customWidth="1"/>
    <col min="12033" max="12033" width="4.7109375" style="4" customWidth="1"/>
    <col min="12034" max="12034" width="4.85546875" style="4" customWidth="1"/>
    <col min="12035" max="12035" width="7.140625" style="4" customWidth="1"/>
    <col min="12036" max="12036" width="6.7109375" style="4" customWidth="1"/>
    <col min="12037" max="12037" width="6.5703125" style="4" customWidth="1"/>
    <col min="12038" max="12038" width="6.42578125" style="4" customWidth="1"/>
    <col min="12039" max="12039" width="6" style="4" customWidth="1"/>
    <col min="12040" max="12040" width="7.7109375" style="4" customWidth="1"/>
    <col min="12041" max="12041" width="8" style="4" customWidth="1"/>
    <col min="12042" max="12042" width="7.140625" style="4" customWidth="1"/>
    <col min="12043" max="12043" width="6.5703125" style="4" customWidth="1"/>
    <col min="12044" max="12044" width="5.42578125" style="4" customWidth="1"/>
    <col min="12045" max="12045" width="4.140625" style="4" customWidth="1"/>
    <col min="12046" max="12046" width="5.85546875" style="4" customWidth="1"/>
    <col min="12047" max="12047" width="4.7109375" style="4" customWidth="1"/>
    <col min="12048" max="12048" width="7.42578125" style="4" customWidth="1"/>
    <col min="12049" max="12049" width="8.140625" style="4" customWidth="1"/>
    <col min="12050" max="12050" width="8.28515625" style="4" customWidth="1"/>
    <col min="12051" max="12286" width="9.140625" style="4"/>
    <col min="12287" max="12287" width="3.7109375" style="4" customWidth="1"/>
    <col min="12288" max="12288" width="41.140625" style="4" customWidth="1"/>
    <col min="12289" max="12289" width="4.7109375" style="4" customWidth="1"/>
    <col min="12290" max="12290" width="4.85546875" style="4" customWidth="1"/>
    <col min="12291" max="12291" width="7.140625" style="4" customWidth="1"/>
    <col min="12292" max="12292" width="6.7109375" style="4" customWidth="1"/>
    <col min="12293" max="12293" width="6.5703125" style="4" customWidth="1"/>
    <col min="12294" max="12294" width="6.42578125" style="4" customWidth="1"/>
    <col min="12295" max="12295" width="6" style="4" customWidth="1"/>
    <col min="12296" max="12296" width="7.7109375" style="4" customWidth="1"/>
    <col min="12297" max="12297" width="8" style="4" customWidth="1"/>
    <col min="12298" max="12298" width="7.140625" style="4" customWidth="1"/>
    <col min="12299" max="12299" width="6.5703125" style="4" customWidth="1"/>
    <col min="12300" max="12300" width="5.42578125" style="4" customWidth="1"/>
    <col min="12301" max="12301" width="4.140625" style="4" customWidth="1"/>
    <col min="12302" max="12302" width="5.85546875" style="4" customWidth="1"/>
    <col min="12303" max="12303" width="4.7109375" style="4" customWidth="1"/>
    <col min="12304" max="12304" width="7.42578125" style="4" customWidth="1"/>
    <col min="12305" max="12305" width="8.140625" style="4" customWidth="1"/>
    <col min="12306" max="12306" width="8.28515625" style="4" customWidth="1"/>
    <col min="12307" max="12542" width="9.140625" style="4"/>
    <col min="12543" max="12543" width="3.7109375" style="4" customWidth="1"/>
    <col min="12544" max="12544" width="41.140625" style="4" customWidth="1"/>
    <col min="12545" max="12545" width="4.7109375" style="4" customWidth="1"/>
    <col min="12546" max="12546" width="4.85546875" style="4" customWidth="1"/>
    <col min="12547" max="12547" width="7.140625" style="4" customWidth="1"/>
    <col min="12548" max="12548" width="6.7109375" style="4" customWidth="1"/>
    <col min="12549" max="12549" width="6.5703125" style="4" customWidth="1"/>
    <col min="12550" max="12550" width="6.42578125" style="4" customWidth="1"/>
    <col min="12551" max="12551" width="6" style="4" customWidth="1"/>
    <col min="12552" max="12552" width="7.7109375" style="4" customWidth="1"/>
    <col min="12553" max="12553" width="8" style="4" customWidth="1"/>
    <col min="12554" max="12554" width="7.140625" style="4" customWidth="1"/>
    <col min="12555" max="12555" width="6.5703125" style="4" customWidth="1"/>
    <col min="12556" max="12556" width="5.42578125" style="4" customWidth="1"/>
    <col min="12557" max="12557" width="4.140625" style="4" customWidth="1"/>
    <col min="12558" max="12558" width="5.85546875" style="4" customWidth="1"/>
    <col min="12559" max="12559" width="4.7109375" style="4" customWidth="1"/>
    <col min="12560" max="12560" width="7.42578125" style="4" customWidth="1"/>
    <col min="12561" max="12561" width="8.140625" style="4" customWidth="1"/>
    <col min="12562" max="12562" width="8.28515625" style="4" customWidth="1"/>
    <col min="12563" max="12798" width="9.140625" style="4"/>
    <col min="12799" max="12799" width="3.7109375" style="4" customWidth="1"/>
    <col min="12800" max="12800" width="41.140625" style="4" customWidth="1"/>
    <col min="12801" max="12801" width="4.7109375" style="4" customWidth="1"/>
    <col min="12802" max="12802" width="4.85546875" style="4" customWidth="1"/>
    <col min="12803" max="12803" width="7.140625" style="4" customWidth="1"/>
    <col min="12804" max="12804" width="6.7109375" style="4" customWidth="1"/>
    <col min="12805" max="12805" width="6.5703125" style="4" customWidth="1"/>
    <col min="12806" max="12806" width="6.42578125" style="4" customWidth="1"/>
    <col min="12807" max="12807" width="6" style="4" customWidth="1"/>
    <col min="12808" max="12808" width="7.7109375" style="4" customWidth="1"/>
    <col min="12809" max="12809" width="8" style="4" customWidth="1"/>
    <col min="12810" max="12810" width="7.140625" style="4" customWidth="1"/>
    <col min="12811" max="12811" width="6.5703125" style="4" customWidth="1"/>
    <col min="12812" max="12812" width="5.42578125" style="4" customWidth="1"/>
    <col min="12813" max="12813" width="4.140625" style="4" customWidth="1"/>
    <col min="12814" max="12814" width="5.85546875" style="4" customWidth="1"/>
    <col min="12815" max="12815" width="4.7109375" style="4" customWidth="1"/>
    <col min="12816" max="12816" width="7.42578125" style="4" customWidth="1"/>
    <col min="12817" max="12817" width="8.140625" style="4" customWidth="1"/>
    <col min="12818" max="12818" width="8.28515625" style="4" customWidth="1"/>
    <col min="12819" max="13054" width="9.140625" style="4"/>
    <col min="13055" max="13055" width="3.7109375" style="4" customWidth="1"/>
    <col min="13056" max="13056" width="41.140625" style="4" customWidth="1"/>
    <col min="13057" max="13057" width="4.7109375" style="4" customWidth="1"/>
    <col min="13058" max="13058" width="4.85546875" style="4" customWidth="1"/>
    <col min="13059" max="13059" width="7.140625" style="4" customWidth="1"/>
    <col min="13060" max="13060" width="6.7109375" style="4" customWidth="1"/>
    <col min="13061" max="13061" width="6.5703125" style="4" customWidth="1"/>
    <col min="13062" max="13062" width="6.42578125" style="4" customWidth="1"/>
    <col min="13063" max="13063" width="6" style="4" customWidth="1"/>
    <col min="13064" max="13064" width="7.7109375" style="4" customWidth="1"/>
    <col min="13065" max="13065" width="8" style="4" customWidth="1"/>
    <col min="13066" max="13066" width="7.140625" style="4" customWidth="1"/>
    <col min="13067" max="13067" width="6.5703125" style="4" customWidth="1"/>
    <col min="13068" max="13068" width="5.42578125" style="4" customWidth="1"/>
    <col min="13069" max="13069" width="4.140625" style="4" customWidth="1"/>
    <col min="13070" max="13070" width="5.85546875" style="4" customWidth="1"/>
    <col min="13071" max="13071" width="4.7109375" style="4" customWidth="1"/>
    <col min="13072" max="13072" width="7.42578125" style="4" customWidth="1"/>
    <col min="13073" max="13073" width="8.140625" style="4" customWidth="1"/>
    <col min="13074" max="13074" width="8.28515625" style="4" customWidth="1"/>
    <col min="13075" max="13310" width="9.140625" style="4"/>
    <col min="13311" max="13311" width="3.7109375" style="4" customWidth="1"/>
    <col min="13312" max="13312" width="41.140625" style="4" customWidth="1"/>
    <col min="13313" max="13313" width="4.7109375" style="4" customWidth="1"/>
    <col min="13314" max="13314" width="4.85546875" style="4" customWidth="1"/>
    <col min="13315" max="13315" width="7.140625" style="4" customWidth="1"/>
    <col min="13316" max="13316" width="6.7109375" style="4" customWidth="1"/>
    <col min="13317" max="13317" width="6.5703125" style="4" customWidth="1"/>
    <col min="13318" max="13318" width="6.42578125" style="4" customWidth="1"/>
    <col min="13319" max="13319" width="6" style="4" customWidth="1"/>
    <col min="13320" max="13320" width="7.7109375" style="4" customWidth="1"/>
    <col min="13321" max="13321" width="8" style="4" customWidth="1"/>
    <col min="13322" max="13322" width="7.140625" style="4" customWidth="1"/>
    <col min="13323" max="13323" width="6.5703125" style="4" customWidth="1"/>
    <col min="13324" max="13324" width="5.42578125" style="4" customWidth="1"/>
    <col min="13325" max="13325" width="4.140625" style="4" customWidth="1"/>
    <col min="13326" max="13326" width="5.85546875" style="4" customWidth="1"/>
    <col min="13327" max="13327" width="4.7109375" style="4" customWidth="1"/>
    <col min="13328" max="13328" width="7.42578125" style="4" customWidth="1"/>
    <col min="13329" max="13329" width="8.140625" style="4" customWidth="1"/>
    <col min="13330" max="13330" width="8.28515625" style="4" customWidth="1"/>
    <col min="13331" max="13566" width="9.140625" style="4"/>
    <col min="13567" max="13567" width="3.7109375" style="4" customWidth="1"/>
    <col min="13568" max="13568" width="41.140625" style="4" customWidth="1"/>
    <col min="13569" max="13569" width="4.7109375" style="4" customWidth="1"/>
    <col min="13570" max="13570" width="4.85546875" style="4" customWidth="1"/>
    <col min="13571" max="13571" width="7.140625" style="4" customWidth="1"/>
    <col min="13572" max="13572" width="6.7109375" style="4" customWidth="1"/>
    <col min="13573" max="13573" width="6.5703125" style="4" customWidth="1"/>
    <col min="13574" max="13574" width="6.42578125" style="4" customWidth="1"/>
    <col min="13575" max="13575" width="6" style="4" customWidth="1"/>
    <col min="13576" max="13576" width="7.7109375" style="4" customWidth="1"/>
    <col min="13577" max="13577" width="8" style="4" customWidth="1"/>
    <col min="13578" max="13578" width="7.140625" style="4" customWidth="1"/>
    <col min="13579" max="13579" width="6.5703125" style="4" customWidth="1"/>
    <col min="13580" max="13580" width="5.42578125" style="4" customWidth="1"/>
    <col min="13581" max="13581" width="4.140625" style="4" customWidth="1"/>
    <col min="13582" max="13582" width="5.85546875" style="4" customWidth="1"/>
    <col min="13583" max="13583" width="4.7109375" style="4" customWidth="1"/>
    <col min="13584" max="13584" width="7.42578125" style="4" customWidth="1"/>
    <col min="13585" max="13585" width="8.140625" style="4" customWidth="1"/>
    <col min="13586" max="13586" width="8.28515625" style="4" customWidth="1"/>
    <col min="13587" max="13822" width="9.140625" style="4"/>
    <col min="13823" max="13823" width="3.7109375" style="4" customWidth="1"/>
    <col min="13824" max="13824" width="41.140625" style="4" customWidth="1"/>
    <col min="13825" max="13825" width="4.7109375" style="4" customWidth="1"/>
    <col min="13826" max="13826" width="4.85546875" style="4" customWidth="1"/>
    <col min="13827" max="13827" width="7.140625" style="4" customWidth="1"/>
    <col min="13828" max="13828" width="6.7109375" style="4" customWidth="1"/>
    <col min="13829" max="13829" width="6.5703125" style="4" customWidth="1"/>
    <col min="13830" max="13830" width="6.42578125" style="4" customWidth="1"/>
    <col min="13831" max="13831" width="6" style="4" customWidth="1"/>
    <col min="13832" max="13832" width="7.7109375" style="4" customWidth="1"/>
    <col min="13833" max="13833" width="8" style="4" customWidth="1"/>
    <col min="13834" max="13834" width="7.140625" style="4" customWidth="1"/>
    <col min="13835" max="13835" width="6.5703125" style="4" customWidth="1"/>
    <col min="13836" max="13836" width="5.42578125" style="4" customWidth="1"/>
    <col min="13837" max="13837" width="4.140625" style="4" customWidth="1"/>
    <col min="13838" max="13838" width="5.85546875" style="4" customWidth="1"/>
    <col min="13839" max="13839" width="4.7109375" style="4" customWidth="1"/>
    <col min="13840" max="13840" width="7.42578125" style="4" customWidth="1"/>
    <col min="13841" max="13841" width="8.140625" style="4" customWidth="1"/>
    <col min="13842" max="13842" width="8.28515625" style="4" customWidth="1"/>
    <col min="13843" max="14078" width="9.140625" style="4"/>
    <col min="14079" max="14079" width="3.7109375" style="4" customWidth="1"/>
    <col min="14080" max="14080" width="41.140625" style="4" customWidth="1"/>
    <col min="14081" max="14081" width="4.7109375" style="4" customWidth="1"/>
    <col min="14082" max="14082" width="4.85546875" style="4" customWidth="1"/>
    <col min="14083" max="14083" width="7.140625" style="4" customWidth="1"/>
    <col min="14084" max="14084" width="6.7109375" style="4" customWidth="1"/>
    <col min="14085" max="14085" width="6.5703125" style="4" customWidth="1"/>
    <col min="14086" max="14086" width="6.42578125" style="4" customWidth="1"/>
    <col min="14087" max="14087" width="6" style="4" customWidth="1"/>
    <col min="14088" max="14088" width="7.7109375" style="4" customWidth="1"/>
    <col min="14089" max="14089" width="8" style="4" customWidth="1"/>
    <col min="14090" max="14090" width="7.140625" style="4" customWidth="1"/>
    <col min="14091" max="14091" width="6.5703125" style="4" customWidth="1"/>
    <col min="14092" max="14092" width="5.42578125" style="4" customWidth="1"/>
    <col min="14093" max="14093" width="4.140625" style="4" customWidth="1"/>
    <col min="14094" max="14094" width="5.85546875" style="4" customWidth="1"/>
    <col min="14095" max="14095" width="4.7109375" style="4" customWidth="1"/>
    <col min="14096" max="14096" width="7.42578125" style="4" customWidth="1"/>
    <col min="14097" max="14097" width="8.140625" style="4" customWidth="1"/>
    <col min="14098" max="14098" width="8.28515625" style="4" customWidth="1"/>
    <col min="14099" max="14334" width="9.140625" style="4"/>
    <col min="14335" max="14335" width="3.7109375" style="4" customWidth="1"/>
    <col min="14336" max="14336" width="41.140625" style="4" customWidth="1"/>
    <col min="14337" max="14337" width="4.7109375" style="4" customWidth="1"/>
    <col min="14338" max="14338" width="4.85546875" style="4" customWidth="1"/>
    <col min="14339" max="14339" width="7.140625" style="4" customWidth="1"/>
    <col min="14340" max="14340" width="6.7109375" style="4" customWidth="1"/>
    <col min="14341" max="14341" width="6.5703125" style="4" customWidth="1"/>
    <col min="14342" max="14342" width="6.42578125" style="4" customWidth="1"/>
    <col min="14343" max="14343" width="6" style="4" customWidth="1"/>
    <col min="14344" max="14344" width="7.7109375" style="4" customWidth="1"/>
    <col min="14345" max="14345" width="8" style="4" customWidth="1"/>
    <col min="14346" max="14346" width="7.140625" style="4" customWidth="1"/>
    <col min="14347" max="14347" width="6.5703125" style="4" customWidth="1"/>
    <col min="14348" max="14348" width="5.42578125" style="4" customWidth="1"/>
    <col min="14349" max="14349" width="4.140625" style="4" customWidth="1"/>
    <col min="14350" max="14350" width="5.85546875" style="4" customWidth="1"/>
    <col min="14351" max="14351" width="4.7109375" style="4" customWidth="1"/>
    <col min="14352" max="14352" width="7.42578125" style="4" customWidth="1"/>
    <col min="14353" max="14353" width="8.140625" style="4" customWidth="1"/>
    <col min="14354" max="14354" width="8.28515625" style="4" customWidth="1"/>
    <col min="14355" max="14590" width="9.140625" style="4"/>
    <col min="14591" max="14591" width="3.7109375" style="4" customWidth="1"/>
    <col min="14592" max="14592" width="41.140625" style="4" customWidth="1"/>
    <col min="14593" max="14593" width="4.7109375" style="4" customWidth="1"/>
    <col min="14594" max="14594" width="4.85546875" style="4" customWidth="1"/>
    <col min="14595" max="14595" width="7.140625" style="4" customWidth="1"/>
    <col min="14596" max="14596" width="6.7109375" style="4" customWidth="1"/>
    <col min="14597" max="14597" width="6.5703125" style="4" customWidth="1"/>
    <col min="14598" max="14598" width="6.42578125" style="4" customWidth="1"/>
    <col min="14599" max="14599" width="6" style="4" customWidth="1"/>
    <col min="14600" max="14600" width="7.7109375" style="4" customWidth="1"/>
    <col min="14601" max="14601" width="8" style="4" customWidth="1"/>
    <col min="14602" max="14602" width="7.140625" style="4" customWidth="1"/>
    <col min="14603" max="14603" width="6.5703125" style="4" customWidth="1"/>
    <col min="14604" max="14604" width="5.42578125" style="4" customWidth="1"/>
    <col min="14605" max="14605" width="4.140625" style="4" customWidth="1"/>
    <col min="14606" max="14606" width="5.85546875" style="4" customWidth="1"/>
    <col min="14607" max="14607" width="4.7109375" style="4" customWidth="1"/>
    <col min="14608" max="14608" width="7.42578125" style="4" customWidth="1"/>
    <col min="14609" max="14609" width="8.140625" style="4" customWidth="1"/>
    <col min="14610" max="14610" width="8.28515625" style="4" customWidth="1"/>
    <col min="14611" max="14846" width="9.140625" style="4"/>
    <col min="14847" max="14847" width="3.7109375" style="4" customWidth="1"/>
    <col min="14848" max="14848" width="41.140625" style="4" customWidth="1"/>
    <col min="14849" max="14849" width="4.7109375" style="4" customWidth="1"/>
    <col min="14850" max="14850" width="4.85546875" style="4" customWidth="1"/>
    <col min="14851" max="14851" width="7.140625" style="4" customWidth="1"/>
    <col min="14852" max="14852" width="6.7109375" style="4" customWidth="1"/>
    <col min="14853" max="14853" width="6.5703125" style="4" customWidth="1"/>
    <col min="14854" max="14854" width="6.42578125" style="4" customWidth="1"/>
    <col min="14855" max="14855" width="6" style="4" customWidth="1"/>
    <col min="14856" max="14856" width="7.7109375" style="4" customWidth="1"/>
    <col min="14857" max="14857" width="8" style="4" customWidth="1"/>
    <col min="14858" max="14858" width="7.140625" style="4" customWidth="1"/>
    <col min="14859" max="14859" width="6.5703125" style="4" customWidth="1"/>
    <col min="14860" max="14860" width="5.42578125" style="4" customWidth="1"/>
    <col min="14861" max="14861" width="4.140625" style="4" customWidth="1"/>
    <col min="14862" max="14862" width="5.85546875" style="4" customWidth="1"/>
    <col min="14863" max="14863" width="4.7109375" style="4" customWidth="1"/>
    <col min="14864" max="14864" width="7.42578125" style="4" customWidth="1"/>
    <col min="14865" max="14865" width="8.140625" style="4" customWidth="1"/>
    <col min="14866" max="14866" width="8.28515625" style="4" customWidth="1"/>
    <col min="14867" max="15102" width="9.140625" style="4"/>
    <col min="15103" max="15103" width="3.7109375" style="4" customWidth="1"/>
    <col min="15104" max="15104" width="41.140625" style="4" customWidth="1"/>
    <col min="15105" max="15105" width="4.7109375" style="4" customWidth="1"/>
    <col min="15106" max="15106" width="4.85546875" style="4" customWidth="1"/>
    <col min="15107" max="15107" width="7.140625" style="4" customWidth="1"/>
    <col min="15108" max="15108" width="6.7109375" style="4" customWidth="1"/>
    <col min="15109" max="15109" width="6.5703125" style="4" customWidth="1"/>
    <col min="15110" max="15110" width="6.42578125" style="4" customWidth="1"/>
    <col min="15111" max="15111" width="6" style="4" customWidth="1"/>
    <col min="15112" max="15112" width="7.7109375" style="4" customWidth="1"/>
    <col min="15113" max="15113" width="8" style="4" customWidth="1"/>
    <col min="15114" max="15114" width="7.140625" style="4" customWidth="1"/>
    <col min="15115" max="15115" width="6.5703125" style="4" customWidth="1"/>
    <col min="15116" max="15116" width="5.42578125" style="4" customWidth="1"/>
    <col min="15117" max="15117" width="4.140625" style="4" customWidth="1"/>
    <col min="15118" max="15118" width="5.85546875" style="4" customWidth="1"/>
    <col min="15119" max="15119" width="4.7109375" style="4" customWidth="1"/>
    <col min="15120" max="15120" width="7.42578125" style="4" customWidth="1"/>
    <col min="15121" max="15121" width="8.140625" style="4" customWidth="1"/>
    <col min="15122" max="15122" width="8.28515625" style="4" customWidth="1"/>
    <col min="15123" max="15358" width="9.140625" style="4"/>
    <col min="15359" max="15359" width="3.7109375" style="4" customWidth="1"/>
    <col min="15360" max="15360" width="41.140625" style="4" customWidth="1"/>
    <col min="15361" max="15361" width="4.7109375" style="4" customWidth="1"/>
    <col min="15362" max="15362" width="4.85546875" style="4" customWidth="1"/>
    <col min="15363" max="15363" width="7.140625" style="4" customWidth="1"/>
    <col min="15364" max="15364" width="6.7109375" style="4" customWidth="1"/>
    <col min="15365" max="15365" width="6.5703125" style="4" customWidth="1"/>
    <col min="15366" max="15366" width="6.42578125" style="4" customWidth="1"/>
    <col min="15367" max="15367" width="6" style="4" customWidth="1"/>
    <col min="15368" max="15368" width="7.7109375" style="4" customWidth="1"/>
    <col min="15369" max="15369" width="8" style="4" customWidth="1"/>
    <col min="15370" max="15370" width="7.140625" style="4" customWidth="1"/>
    <col min="15371" max="15371" width="6.5703125" style="4" customWidth="1"/>
    <col min="15372" max="15372" width="5.42578125" style="4" customWidth="1"/>
    <col min="15373" max="15373" width="4.140625" style="4" customWidth="1"/>
    <col min="15374" max="15374" width="5.85546875" style="4" customWidth="1"/>
    <col min="15375" max="15375" width="4.7109375" style="4" customWidth="1"/>
    <col min="15376" max="15376" width="7.42578125" style="4" customWidth="1"/>
    <col min="15377" max="15377" width="8.140625" style="4" customWidth="1"/>
    <col min="15378" max="15378" width="8.28515625" style="4" customWidth="1"/>
    <col min="15379" max="15614" width="9.140625" style="4"/>
    <col min="15615" max="15615" width="3.7109375" style="4" customWidth="1"/>
    <col min="15616" max="15616" width="41.140625" style="4" customWidth="1"/>
    <col min="15617" max="15617" width="4.7109375" style="4" customWidth="1"/>
    <col min="15618" max="15618" width="4.85546875" style="4" customWidth="1"/>
    <col min="15619" max="15619" width="7.140625" style="4" customWidth="1"/>
    <col min="15620" max="15620" width="6.7109375" style="4" customWidth="1"/>
    <col min="15621" max="15621" width="6.5703125" style="4" customWidth="1"/>
    <col min="15622" max="15622" width="6.42578125" style="4" customWidth="1"/>
    <col min="15623" max="15623" width="6" style="4" customWidth="1"/>
    <col min="15624" max="15624" width="7.7109375" style="4" customWidth="1"/>
    <col min="15625" max="15625" width="8" style="4" customWidth="1"/>
    <col min="15626" max="15626" width="7.140625" style="4" customWidth="1"/>
    <col min="15627" max="15627" width="6.5703125" style="4" customWidth="1"/>
    <col min="15628" max="15628" width="5.42578125" style="4" customWidth="1"/>
    <col min="15629" max="15629" width="4.140625" style="4" customWidth="1"/>
    <col min="15630" max="15630" width="5.85546875" style="4" customWidth="1"/>
    <col min="15631" max="15631" width="4.7109375" style="4" customWidth="1"/>
    <col min="15632" max="15632" width="7.42578125" style="4" customWidth="1"/>
    <col min="15633" max="15633" width="8.140625" style="4" customWidth="1"/>
    <col min="15634" max="15634" width="8.28515625" style="4" customWidth="1"/>
    <col min="15635" max="15870" width="9.140625" style="4"/>
    <col min="15871" max="15871" width="3.7109375" style="4" customWidth="1"/>
    <col min="15872" max="15872" width="41.140625" style="4" customWidth="1"/>
    <col min="15873" max="15873" width="4.7109375" style="4" customWidth="1"/>
    <col min="15874" max="15874" width="4.85546875" style="4" customWidth="1"/>
    <col min="15875" max="15875" width="7.140625" style="4" customWidth="1"/>
    <col min="15876" max="15876" width="6.7109375" style="4" customWidth="1"/>
    <col min="15877" max="15877" width="6.5703125" style="4" customWidth="1"/>
    <col min="15878" max="15878" width="6.42578125" style="4" customWidth="1"/>
    <col min="15879" max="15879" width="6" style="4" customWidth="1"/>
    <col min="15880" max="15880" width="7.7109375" style="4" customWidth="1"/>
    <col min="15881" max="15881" width="8" style="4" customWidth="1"/>
    <col min="15882" max="15882" width="7.140625" style="4" customWidth="1"/>
    <col min="15883" max="15883" width="6.5703125" style="4" customWidth="1"/>
    <col min="15884" max="15884" width="5.42578125" style="4" customWidth="1"/>
    <col min="15885" max="15885" width="4.140625" style="4" customWidth="1"/>
    <col min="15886" max="15886" width="5.85546875" style="4" customWidth="1"/>
    <col min="15887" max="15887" width="4.7109375" style="4" customWidth="1"/>
    <col min="15888" max="15888" width="7.42578125" style="4" customWidth="1"/>
    <col min="15889" max="15889" width="8.140625" style="4" customWidth="1"/>
    <col min="15890" max="15890" width="8.28515625" style="4" customWidth="1"/>
    <col min="15891" max="16126" width="9.140625" style="4"/>
    <col min="16127" max="16127" width="3.7109375" style="4" customWidth="1"/>
    <col min="16128" max="16128" width="41.140625" style="4" customWidth="1"/>
    <col min="16129" max="16129" width="4.7109375" style="4" customWidth="1"/>
    <col min="16130" max="16130" width="4.85546875" style="4" customWidth="1"/>
    <col min="16131" max="16131" width="7.140625" style="4" customWidth="1"/>
    <col min="16132" max="16132" width="6.7109375" style="4" customWidth="1"/>
    <col min="16133" max="16133" width="6.5703125" style="4" customWidth="1"/>
    <col min="16134" max="16134" width="6.42578125" style="4" customWidth="1"/>
    <col min="16135" max="16135" width="6" style="4" customWidth="1"/>
    <col min="16136" max="16136" width="7.7109375" style="4" customWidth="1"/>
    <col min="16137" max="16137" width="8" style="4" customWidth="1"/>
    <col min="16138" max="16138" width="7.140625" style="4" customWidth="1"/>
    <col min="16139" max="16139" width="6.5703125" style="4" customWidth="1"/>
    <col min="16140" max="16140" width="5.42578125" style="4" customWidth="1"/>
    <col min="16141" max="16141" width="4.140625" style="4" customWidth="1"/>
    <col min="16142" max="16142" width="5.85546875" style="4" customWidth="1"/>
    <col min="16143" max="16143" width="4.7109375" style="4" customWidth="1"/>
    <col min="16144" max="16144" width="7.42578125" style="4" customWidth="1"/>
    <col min="16145" max="16145" width="8.140625" style="4" customWidth="1"/>
    <col min="16146" max="16146" width="8.28515625" style="4" customWidth="1"/>
    <col min="16147" max="16384" width="9.140625" style="4"/>
  </cols>
  <sheetData>
    <row r="1" spans="1:27" x14ac:dyDescent="0.25">
      <c r="A1" s="1"/>
      <c r="B1" s="2"/>
      <c r="C1" s="2"/>
      <c r="D1" s="2"/>
      <c r="E1" s="2"/>
      <c r="F1" s="2"/>
      <c r="G1" s="2"/>
      <c r="H1" s="2"/>
      <c r="I1" s="2"/>
      <c r="J1" s="2"/>
      <c r="K1" s="2"/>
      <c r="L1" s="2"/>
      <c r="M1" s="2"/>
      <c r="N1" s="2"/>
      <c r="O1" s="2"/>
      <c r="P1" s="2"/>
      <c r="Q1" s="2"/>
      <c r="R1" s="2"/>
      <c r="S1" s="2"/>
      <c r="T1" s="3" t="s">
        <v>678</v>
      </c>
    </row>
    <row r="2" spans="1:27" x14ac:dyDescent="0.25">
      <c r="A2" s="1"/>
      <c r="B2" s="2"/>
      <c r="C2" s="2"/>
      <c r="D2" s="2"/>
      <c r="E2" s="2"/>
      <c r="F2" s="2"/>
      <c r="G2" s="2"/>
      <c r="H2" s="2"/>
      <c r="I2" s="2"/>
      <c r="J2" s="2"/>
      <c r="K2" s="2"/>
      <c r="L2" s="2"/>
      <c r="M2" s="2"/>
      <c r="N2" s="2"/>
      <c r="O2" s="2"/>
      <c r="P2" s="2"/>
      <c r="Q2" s="2"/>
      <c r="R2" s="2"/>
      <c r="S2" s="2"/>
      <c r="T2" s="2"/>
    </row>
    <row r="3" spans="1:27" x14ac:dyDescent="0.25">
      <c r="A3" s="1096" t="s">
        <v>1900</v>
      </c>
      <c r="B3" s="1096"/>
      <c r="C3" s="1096"/>
      <c r="D3" s="1096"/>
      <c r="E3" s="1096"/>
      <c r="F3" s="1096"/>
      <c r="G3" s="1096"/>
      <c r="H3" s="1096"/>
      <c r="I3" s="1096"/>
      <c r="J3" s="1096"/>
      <c r="K3" s="1096"/>
      <c r="L3" s="1096"/>
      <c r="M3" s="1096"/>
      <c r="N3" s="1096"/>
      <c r="O3" s="1096"/>
      <c r="P3" s="1096"/>
      <c r="Q3" s="1096"/>
      <c r="R3" s="1096"/>
      <c r="S3" s="1096"/>
      <c r="T3" s="1096"/>
    </row>
    <row r="4" spans="1:27" x14ac:dyDescent="0.25">
      <c r="A4" s="5"/>
      <c r="B4" s="5"/>
      <c r="C4" s="5"/>
      <c r="D4" s="5"/>
      <c r="E4" s="5"/>
      <c r="F4" s="5"/>
      <c r="G4" s="5"/>
      <c r="H4" s="5"/>
      <c r="I4" s="5"/>
      <c r="J4" s="5"/>
      <c r="K4" s="5"/>
      <c r="L4" s="5"/>
      <c r="M4" s="5"/>
      <c r="N4" s="5"/>
      <c r="O4" s="5"/>
      <c r="P4" s="5"/>
      <c r="Q4" s="5"/>
      <c r="R4" s="5"/>
      <c r="S4" s="5"/>
      <c r="T4" s="5"/>
    </row>
    <row r="5" spans="1:27" ht="15" customHeight="1" x14ac:dyDescent="0.25">
      <c r="A5" s="1097" t="s">
        <v>34</v>
      </c>
      <c r="B5" s="1098" t="s">
        <v>242</v>
      </c>
      <c r="C5" s="1099" t="s">
        <v>243</v>
      </c>
      <c r="D5" s="1099"/>
      <c r="E5" s="1099"/>
      <c r="F5" s="1099"/>
      <c r="G5" s="1099"/>
      <c r="H5" s="1099"/>
      <c r="I5" s="1099"/>
      <c r="J5" s="1099"/>
      <c r="K5" s="1099"/>
      <c r="L5" s="1099"/>
      <c r="M5" s="1099"/>
      <c r="N5" s="1100" t="s">
        <v>244</v>
      </c>
      <c r="O5" s="1101"/>
      <c r="P5" s="1101"/>
      <c r="Q5" s="1101"/>
      <c r="R5" s="1102"/>
      <c r="S5" s="1098" t="s">
        <v>245</v>
      </c>
      <c r="T5" s="1098" t="s">
        <v>246</v>
      </c>
    </row>
    <row r="6" spans="1:27" ht="23.25" customHeight="1" x14ac:dyDescent="0.25">
      <c r="A6" s="1097"/>
      <c r="B6" s="1098"/>
      <c r="C6" s="1106" t="s">
        <v>3</v>
      </c>
      <c r="D6" s="1108" t="s">
        <v>247</v>
      </c>
      <c r="E6" s="1093" t="s">
        <v>248</v>
      </c>
      <c r="F6" s="1094"/>
      <c r="G6" s="1094"/>
      <c r="H6" s="1094"/>
      <c r="I6" s="1095"/>
      <c r="J6" s="1093" t="s">
        <v>1115</v>
      </c>
      <c r="K6" s="1094"/>
      <c r="L6" s="1094"/>
      <c r="M6" s="1095"/>
      <c r="N6" s="1103"/>
      <c r="O6" s="1104"/>
      <c r="P6" s="1104"/>
      <c r="Q6" s="1104"/>
      <c r="R6" s="1105"/>
      <c r="S6" s="1098"/>
      <c r="T6" s="1098"/>
    </row>
    <row r="7" spans="1:27" ht="36" customHeight="1" x14ac:dyDescent="0.25">
      <c r="A7" s="1097"/>
      <c r="B7" s="1098"/>
      <c r="C7" s="1107"/>
      <c r="D7" s="1109"/>
      <c r="E7" s="6" t="s">
        <v>249</v>
      </c>
      <c r="F7" s="7" t="s">
        <v>250</v>
      </c>
      <c r="G7" s="7" t="s">
        <v>251</v>
      </c>
      <c r="H7" s="7" t="s">
        <v>252</v>
      </c>
      <c r="I7" s="128" t="s">
        <v>253</v>
      </c>
      <c r="J7" s="8" t="s">
        <v>254</v>
      </c>
      <c r="K7" s="8" t="s">
        <v>255</v>
      </c>
      <c r="L7" s="8" t="s">
        <v>256</v>
      </c>
      <c r="M7" s="9" t="s">
        <v>257</v>
      </c>
      <c r="N7" s="10" t="s">
        <v>3</v>
      </c>
      <c r="O7" s="10" t="s">
        <v>258</v>
      </c>
      <c r="P7" s="10" t="s">
        <v>52</v>
      </c>
      <c r="Q7" s="10" t="s">
        <v>40</v>
      </c>
      <c r="R7" s="129" t="s">
        <v>259</v>
      </c>
      <c r="S7" s="1098"/>
      <c r="T7" s="1098"/>
    </row>
    <row r="8" spans="1:27" ht="9" customHeight="1" x14ac:dyDescent="0.25">
      <c r="A8" s="368"/>
      <c r="B8" s="369"/>
      <c r="C8" s="369"/>
      <c r="D8" s="369"/>
      <c r="E8" s="369"/>
      <c r="F8" s="369"/>
      <c r="G8" s="369"/>
      <c r="H8" s="369"/>
      <c r="I8" s="369">
        <v>0.3</v>
      </c>
      <c r="J8" s="369"/>
      <c r="K8" s="369"/>
      <c r="L8" s="369"/>
      <c r="M8" s="369">
        <v>0.35</v>
      </c>
      <c r="N8" s="369"/>
      <c r="O8" s="369"/>
      <c r="P8" s="369"/>
      <c r="Q8" s="369"/>
      <c r="R8" s="369">
        <v>0.35</v>
      </c>
      <c r="S8" s="369"/>
      <c r="T8" s="369"/>
    </row>
    <row r="9" spans="1:27" s="16" customFormat="1" ht="22.5" customHeight="1" x14ac:dyDescent="0.25">
      <c r="A9" s="12"/>
      <c r="B9" s="13" t="s">
        <v>3</v>
      </c>
      <c r="C9" s="14">
        <f t="shared" ref="C9:H9" si="0">SUM(C10,C18,C23,C28,C33,C38,C43,C49,C54,C61,C67,C72,C78,C81,C86)</f>
        <v>414</v>
      </c>
      <c r="D9" s="14">
        <f t="shared" si="0"/>
        <v>38</v>
      </c>
      <c r="E9" s="14">
        <f t="shared" si="0"/>
        <v>45</v>
      </c>
      <c r="F9" s="14">
        <f t="shared" si="0"/>
        <v>264</v>
      </c>
      <c r="G9" s="14">
        <f t="shared" si="0"/>
        <v>31</v>
      </c>
      <c r="H9" s="14">
        <f t="shared" si="0"/>
        <v>36</v>
      </c>
      <c r="I9" s="570">
        <f>'1. Показатели'!AC3</f>
        <v>0.94090787358828376</v>
      </c>
      <c r="J9" s="15">
        <f>J10+J18+J23+J28+J33+J38+J43+J49+J54+J61+J67+J72+J78+J81+J86</f>
        <v>121</v>
      </c>
      <c r="K9" s="15">
        <f>K10+K18+K23+K28+K33+K38+K43+K49+K54+K61+K67+K72+K78+K81+K86</f>
        <v>71</v>
      </c>
      <c r="L9" s="15">
        <f>L10+L18+L23+L28+L33+L38+L43+L49+L54+L61+L67+L72+L78+L81+L86</f>
        <v>52</v>
      </c>
      <c r="M9" s="568">
        <f>'1. Показатели'!AD3</f>
        <v>1.0242835503120369</v>
      </c>
      <c r="N9" s="15">
        <f>N10+N18+N23+N28+N33+N38+N43+N49+N54+N61+N67+N72+N78+N81+N86</f>
        <v>1050</v>
      </c>
      <c r="O9" s="15">
        <f>O10+O18+O23+O28+O33+O38+O43+O49+O54+O61+O67+O72+O78+O81+O86</f>
        <v>842</v>
      </c>
      <c r="P9" s="15">
        <f>P10+P18+P23+P28+P33+P38+P43+P49+P54+P61+P67+P72+P78+P81+P86</f>
        <v>157</v>
      </c>
      <c r="Q9" s="15">
        <f>Q10+Q18+Q23+Q28+Q33+Q38+Q43+Q49+Q54+Q61+Q67+Q72+Q78+Q81+Q86</f>
        <v>51</v>
      </c>
      <c r="R9" s="569">
        <f t="shared" ref="R9:R40" si="1">(O9+0.5*P9)/N9</f>
        <v>0.87666666666666671</v>
      </c>
      <c r="S9" s="30">
        <f t="shared" ref="S9:S17" si="2">I9*$I$8+(M9-3%)*$M$8+R9*$R$8</f>
        <v>0.93710493801903127</v>
      </c>
      <c r="T9" s="125" t="str">
        <f t="shared" ref="T9:T17" si="3">IF(S9&gt;=97%,"Высокая",IF((S9&gt;=92%)*AND(S9&lt;97%),"Средняя",IF((S9&gt;=85%)*AND(S9&lt;92%),"Ниже среднего","Низкая")))</f>
        <v>Средняя</v>
      </c>
      <c r="V9" s="16">
        <f t="shared" ref="V9:V48" si="4">(O9+0.5*P9)/N9</f>
        <v>0.87666666666666671</v>
      </c>
      <c r="W9" s="126"/>
    </row>
    <row r="10" spans="1:27" ht="24" customHeight="1" collapsed="1" x14ac:dyDescent="0.25">
      <c r="A10" s="17">
        <v>1</v>
      </c>
      <c r="B10" s="197" t="s">
        <v>1064</v>
      </c>
      <c r="C10" s="111">
        <f>'1. Показатели'!R6</f>
        <v>50</v>
      </c>
      <c r="D10" s="111">
        <f>'1. Показатели'!S6</f>
        <v>9</v>
      </c>
      <c r="E10" s="111">
        <f>'1. Показатели'!T6</f>
        <v>2</v>
      </c>
      <c r="F10" s="111">
        <f>'1. Показатели'!U6</f>
        <v>29</v>
      </c>
      <c r="G10" s="111">
        <f>'1. Показатели'!V6</f>
        <v>7</v>
      </c>
      <c r="H10" s="111">
        <f>'1. Показатели'!W6</f>
        <v>3</v>
      </c>
      <c r="I10" s="30">
        <f>'1. Показатели'!H6</f>
        <v>0.95623064476269337</v>
      </c>
      <c r="J10" s="486">
        <f>'1. Показатели'!Z6</f>
        <v>19</v>
      </c>
      <c r="K10" s="486">
        <f>'1. Показатели'!AA6</f>
        <v>16</v>
      </c>
      <c r="L10" s="486">
        <f>'1. Показатели'!AB6</f>
        <v>2</v>
      </c>
      <c r="M10" s="18">
        <f>'1. Показатели'!I6</f>
        <v>1.0414244206958727</v>
      </c>
      <c r="N10" s="429">
        <f>'2.ПП'!G11</f>
        <v>131</v>
      </c>
      <c r="O10" s="429">
        <f>'2.ПП'!H11</f>
        <v>107</v>
      </c>
      <c r="P10" s="429">
        <f>'2.ПП'!I11</f>
        <v>17</v>
      </c>
      <c r="Q10" s="429">
        <f>'2.ПП'!J11</f>
        <v>7</v>
      </c>
      <c r="R10" s="19">
        <f t="shared" si="1"/>
        <v>0.88167938931297707</v>
      </c>
      <c r="S10" s="30">
        <f t="shared" si="2"/>
        <v>0.94945552693190538</v>
      </c>
      <c r="T10" s="124" t="str">
        <f t="shared" si="3"/>
        <v>Средняя</v>
      </c>
      <c r="U10" s="20">
        <f t="shared" ref="U10:U36" si="5">I10*0.3+(M10-3%)*0.35+R10*0.35</f>
        <v>0.94945552693190538</v>
      </c>
      <c r="V10" s="4">
        <f t="shared" si="4"/>
        <v>0.88167938931297707</v>
      </c>
      <c r="W10" s="126">
        <f t="shared" ref="W10:W36" si="6">I10-R10</f>
        <v>7.4551255449716303E-2</v>
      </c>
    </row>
    <row r="11" spans="1:27" ht="37.5" hidden="1" customHeight="1" outlineLevel="1" x14ac:dyDescent="0.25">
      <c r="A11" s="11" t="s">
        <v>46</v>
      </c>
      <c r="B11" s="225" t="s">
        <v>54</v>
      </c>
      <c r="C11" s="215">
        <f>'1. Показатели'!R16</f>
        <v>8</v>
      </c>
      <c r="D11" s="215">
        <f>'1. Показатели'!S16</f>
        <v>0</v>
      </c>
      <c r="E11" s="215">
        <f>'1. Показатели'!T16</f>
        <v>1</v>
      </c>
      <c r="F11" s="215">
        <f>'1. Показатели'!U16</f>
        <v>4</v>
      </c>
      <c r="G11" s="215">
        <f>'1. Показатели'!V16</f>
        <v>2</v>
      </c>
      <c r="H11" s="215">
        <f>'1. Показатели'!W16</f>
        <v>1</v>
      </c>
      <c r="I11" s="21">
        <f>'1. Показатели'!H16</f>
        <v>0.97245229383429732</v>
      </c>
      <c r="J11" s="22">
        <f>'1. Показатели'!Z16</f>
        <v>5</v>
      </c>
      <c r="K11" s="22">
        <f>'1. Показатели'!AA16</f>
        <v>3</v>
      </c>
      <c r="L11" s="22">
        <f>'1. Показатели'!AB16</f>
        <v>0</v>
      </c>
      <c r="M11" s="21">
        <f>'1. Показатели'!I16</f>
        <v>1.0616203406986604</v>
      </c>
      <c r="N11" s="22">
        <f>'2.ПП'!G15</f>
        <v>24</v>
      </c>
      <c r="O11" s="22">
        <f>'2.ПП'!H15</f>
        <v>19</v>
      </c>
      <c r="P11" s="22">
        <f>'2.ПП'!I15</f>
        <v>4</v>
      </c>
      <c r="Q11" s="22">
        <f>'2.ПП'!J15</f>
        <v>1</v>
      </c>
      <c r="R11" s="21">
        <f t="shared" si="1"/>
        <v>0.875</v>
      </c>
      <c r="S11" s="226">
        <f t="shared" si="2"/>
        <v>0.95905280739482013</v>
      </c>
      <c r="T11" s="439" t="str">
        <f t="shared" si="3"/>
        <v>Средняя</v>
      </c>
      <c r="U11" s="20">
        <f t="shared" si="5"/>
        <v>0.95905280739482013</v>
      </c>
      <c r="V11" s="4">
        <f t="shared" si="4"/>
        <v>0.875</v>
      </c>
      <c r="W11" s="126">
        <f t="shared" si="6"/>
        <v>9.7452293834297321E-2</v>
      </c>
      <c r="X11" s="130"/>
      <c r="Y11" s="130"/>
      <c r="Z11" s="130"/>
      <c r="AA11" s="130"/>
    </row>
    <row r="12" spans="1:27" ht="72" hidden="1" customHeight="1" outlineLevel="1" x14ac:dyDescent="0.25">
      <c r="A12" s="11" t="s">
        <v>47</v>
      </c>
      <c r="B12" s="225" t="s">
        <v>991</v>
      </c>
      <c r="C12" s="215">
        <f>'1. Показатели'!R25</f>
        <v>10</v>
      </c>
      <c r="D12" s="215">
        <f>'1. Показатели'!S25</f>
        <v>0</v>
      </c>
      <c r="E12" s="215">
        <f>'1. Показатели'!T25</f>
        <v>0</v>
      </c>
      <c r="F12" s="215">
        <f>'1. Показатели'!U25</f>
        <v>8</v>
      </c>
      <c r="G12" s="215">
        <f>'1. Показатели'!V25</f>
        <v>2</v>
      </c>
      <c r="H12" s="215">
        <f>'1. Показатели'!W25</f>
        <v>0</v>
      </c>
      <c r="I12" s="21">
        <f>'1. Показатели'!H25</f>
        <v>0.98948234349919739</v>
      </c>
      <c r="J12" s="22">
        <f>'1. Показатели'!Z25</f>
        <v>5</v>
      </c>
      <c r="K12" s="22">
        <f>'1. Показатели'!AA25</f>
        <v>3</v>
      </c>
      <c r="L12" s="22">
        <f>'1. Показатели'!AB25</f>
        <v>1</v>
      </c>
      <c r="M12" s="21">
        <f>'1. Показатели'!I25</f>
        <v>1.0599669618886025</v>
      </c>
      <c r="N12" s="22">
        <f>'2.ПП'!G19</f>
        <v>25</v>
      </c>
      <c r="O12" s="22">
        <f>'2.ПП'!H19</f>
        <v>24</v>
      </c>
      <c r="P12" s="22">
        <f>'2.ПП'!I19</f>
        <v>1</v>
      </c>
      <c r="Q12" s="22">
        <f>'2.ПП'!J19</f>
        <v>0</v>
      </c>
      <c r="R12" s="21">
        <f t="shared" si="1"/>
        <v>0.98</v>
      </c>
      <c r="S12" s="226">
        <f t="shared" si="2"/>
        <v>1.00033313971077</v>
      </c>
      <c r="T12" s="439" t="str">
        <f t="shared" si="3"/>
        <v>Высокая</v>
      </c>
      <c r="U12" s="20">
        <f t="shared" si="5"/>
        <v>1.00033313971077</v>
      </c>
      <c r="V12" s="4">
        <f t="shared" si="4"/>
        <v>0.98</v>
      </c>
      <c r="W12" s="126">
        <f t="shared" si="6"/>
        <v>9.4823434991974098E-3</v>
      </c>
    </row>
    <row r="13" spans="1:27" ht="22.5" hidden="1" outlineLevel="1" x14ac:dyDescent="0.25">
      <c r="A13" s="11" t="s">
        <v>48</v>
      </c>
      <c r="B13" s="225" t="s">
        <v>70</v>
      </c>
      <c r="C13" s="215">
        <f>'1. Показатели'!R36</f>
        <v>5</v>
      </c>
      <c r="D13" s="215">
        <f>'1. Показатели'!S36</f>
        <v>2</v>
      </c>
      <c r="E13" s="215">
        <f>'1. Показатели'!T36</f>
        <v>0</v>
      </c>
      <c r="F13" s="215">
        <f>'1. Показатели'!U36</f>
        <v>2</v>
      </c>
      <c r="G13" s="215">
        <f>'1. Показатели'!V36</f>
        <v>1</v>
      </c>
      <c r="H13" s="215">
        <f>'1. Показатели'!W36</f>
        <v>0</v>
      </c>
      <c r="I13" s="21">
        <f>'1. Показатели'!H36</f>
        <v>0.99739345316678518</v>
      </c>
      <c r="J13" s="22">
        <f>'1. Показатели'!Z36</f>
        <v>1</v>
      </c>
      <c r="K13" s="22">
        <f>'1. Показатели'!AA36</f>
        <v>2</v>
      </c>
      <c r="L13" s="22">
        <f>'1. Показатели'!AB36</f>
        <v>0</v>
      </c>
      <c r="M13" s="21">
        <f>'1. Показатели'!I36</f>
        <v>1.013692591639068</v>
      </c>
      <c r="N13" s="22">
        <f>'2.ПП'!G23</f>
        <v>3</v>
      </c>
      <c r="O13" s="22">
        <f>'2.ПП'!H23</f>
        <v>1</v>
      </c>
      <c r="P13" s="22">
        <f>'2.ПП'!I23</f>
        <v>2</v>
      </c>
      <c r="Q13" s="22">
        <f>'2.ПП'!J23</f>
        <v>0</v>
      </c>
      <c r="R13" s="21">
        <f t="shared" si="1"/>
        <v>0.66666666666666663</v>
      </c>
      <c r="S13" s="226">
        <f t="shared" si="2"/>
        <v>0.87684377635704258</v>
      </c>
      <c r="T13" s="439" t="str">
        <f t="shared" si="3"/>
        <v>Ниже среднего</v>
      </c>
      <c r="U13" s="20">
        <f t="shared" si="5"/>
        <v>0.87684377635704258</v>
      </c>
      <c r="V13" s="4">
        <f t="shared" si="4"/>
        <v>0.66666666666666663</v>
      </c>
      <c r="W13" s="126">
        <f t="shared" si="6"/>
        <v>0.33072678650011855</v>
      </c>
    </row>
    <row r="14" spans="1:27" ht="25.5" hidden="1" customHeight="1" outlineLevel="1" x14ac:dyDescent="0.25">
      <c r="A14" s="11" t="s">
        <v>49</v>
      </c>
      <c r="B14" s="225" t="s">
        <v>76</v>
      </c>
      <c r="C14" s="215">
        <f>'1. Показатели'!R42</f>
        <v>6</v>
      </c>
      <c r="D14" s="215">
        <f>'1. Показатели'!S42</f>
        <v>0</v>
      </c>
      <c r="E14" s="215">
        <f>'1. Показатели'!T42</f>
        <v>0</v>
      </c>
      <c r="F14" s="215">
        <f>'1. Показатели'!U42</f>
        <v>4</v>
      </c>
      <c r="G14" s="215">
        <f>'1. Показатели'!V42</f>
        <v>1</v>
      </c>
      <c r="H14" s="215">
        <f>'1. Показатели'!W42</f>
        <v>1</v>
      </c>
      <c r="I14" s="21">
        <f>'1. Показатели'!H42</f>
        <v>0.82352941176470595</v>
      </c>
      <c r="J14" s="22">
        <f>'1. Показатели'!Z42</f>
        <v>2</v>
      </c>
      <c r="K14" s="22">
        <f>'1. Показатели'!AA42</f>
        <v>1</v>
      </c>
      <c r="L14" s="22">
        <f>'1. Показатели'!AB42</f>
        <v>0</v>
      </c>
      <c r="M14" s="21">
        <f>'1. Показатели'!I42</f>
        <v>1.0135135135135136</v>
      </c>
      <c r="N14" s="22">
        <f>'2.ПП'!G26</f>
        <v>25</v>
      </c>
      <c r="O14" s="22">
        <f>'2.ПП'!H26</f>
        <v>11</v>
      </c>
      <c r="P14" s="22">
        <f>'2.ПП'!I26</f>
        <v>9</v>
      </c>
      <c r="Q14" s="22">
        <f>'2.ПП'!J26</f>
        <v>5</v>
      </c>
      <c r="R14" s="21">
        <f t="shared" si="1"/>
        <v>0.62</v>
      </c>
      <c r="S14" s="226">
        <f t="shared" si="2"/>
        <v>0.8082885532591414</v>
      </c>
      <c r="T14" s="439" t="str">
        <f t="shared" si="3"/>
        <v>Низкая</v>
      </c>
      <c r="U14" s="20">
        <f t="shared" si="5"/>
        <v>0.8082885532591414</v>
      </c>
      <c r="V14" s="4">
        <f t="shared" si="4"/>
        <v>0.62</v>
      </c>
      <c r="W14" s="127">
        <f t="shared" si="6"/>
        <v>0.20352941176470596</v>
      </c>
    </row>
    <row r="15" spans="1:27" ht="27" hidden="1" customHeight="1" outlineLevel="1" x14ac:dyDescent="0.25">
      <c r="A15" s="11" t="s">
        <v>50</v>
      </c>
      <c r="B15" s="225" t="s">
        <v>83</v>
      </c>
      <c r="C15" s="215">
        <f>'1. Показатели'!R49</f>
        <v>6</v>
      </c>
      <c r="D15" s="215">
        <f>'1. Показатели'!S49</f>
        <v>0</v>
      </c>
      <c r="E15" s="215">
        <f>'1. Показатели'!T49</f>
        <v>0</v>
      </c>
      <c r="F15" s="215">
        <f>'1. Показатели'!U49</f>
        <v>4</v>
      </c>
      <c r="G15" s="215">
        <f>'1. Показатели'!V49</f>
        <v>1</v>
      </c>
      <c r="H15" s="215">
        <f>'1. Показатели'!W49</f>
        <v>1</v>
      </c>
      <c r="I15" s="21">
        <f>'1. Показатели'!H49</f>
        <v>0.9329429699192483</v>
      </c>
      <c r="J15" s="22">
        <f>'1. Показатели'!Z49</f>
        <v>5</v>
      </c>
      <c r="K15" s="22">
        <f>'1. Показатели'!AA49</f>
        <v>1</v>
      </c>
      <c r="L15" s="22">
        <f>'1. Показатели'!AB49</f>
        <v>0</v>
      </c>
      <c r="M15" s="21">
        <f>'1. Показатели'!I49</f>
        <v>1.0872771748023764</v>
      </c>
      <c r="N15" s="22">
        <f>'2.ПП'!G29</f>
        <v>21</v>
      </c>
      <c r="O15" s="22">
        <f>'2.ПП'!H29</f>
        <v>21</v>
      </c>
      <c r="P15" s="22">
        <f>'2.ПП'!I29</f>
        <v>0</v>
      </c>
      <c r="Q15" s="22">
        <f>'2.ПП'!J29</f>
        <v>0</v>
      </c>
      <c r="R15" s="21">
        <f t="shared" si="1"/>
        <v>1</v>
      </c>
      <c r="S15" s="226">
        <f t="shared" si="2"/>
        <v>0.99992990215660615</v>
      </c>
      <c r="T15" s="439" t="str">
        <f t="shared" si="3"/>
        <v>Высокая</v>
      </c>
      <c r="U15" s="20">
        <f t="shared" si="5"/>
        <v>0.99992990215660615</v>
      </c>
      <c r="V15" s="4">
        <f t="shared" si="4"/>
        <v>1</v>
      </c>
      <c r="W15" s="126">
        <f t="shared" si="6"/>
        <v>-6.7057030080751701E-2</v>
      </c>
    </row>
    <row r="16" spans="1:27" ht="24" hidden="1" customHeight="1" outlineLevel="1" x14ac:dyDescent="0.25">
      <c r="A16" s="11" t="s">
        <v>51</v>
      </c>
      <c r="B16" s="225" t="s">
        <v>86</v>
      </c>
      <c r="C16" s="215">
        <f>'1. Показатели'!R56</f>
        <v>4</v>
      </c>
      <c r="D16" s="215">
        <f>'1. Показатели'!S56</f>
        <v>0</v>
      </c>
      <c r="E16" s="215">
        <f>'1. Показатели'!T56</f>
        <v>0</v>
      </c>
      <c r="F16" s="215">
        <f>'1. Показатели'!U56</f>
        <v>4</v>
      </c>
      <c r="G16" s="215">
        <f>'1. Показатели'!V56</f>
        <v>0</v>
      </c>
      <c r="H16" s="215">
        <f>'1. Показатели'!W56</f>
        <v>0</v>
      </c>
      <c r="I16" s="21">
        <f>'1. Показатели'!H56</f>
        <v>1</v>
      </c>
      <c r="J16" s="22">
        <f>'1. Показатели'!Z56</f>
        <v>0</v>
      </c>
      <c r="K16" s="22">
        <f>'1. Показатели'!AA56</f>
        <v>4</v>
      </c>
      <c r="L16" s="22">
        <f>'1. Показатели'!AB56</f>
        <v>0</v>
      </c>
      <c r="M16" s="21">
        <f>'1. Показатели'!I56</f>
        <v>1</v>
      </c>
      <c r="N16" s="22">
        <f>'2.ПП'!G32</f>
        <v>16</v>
      </c>
      <c r="O16" s="22">
        <f>'2.ПП'!H32</f>
        <v>14</v>
      </c>
      <c r="P16" s="22">
        <f>'2.ПП'!I32</f>
        <v>1</v>
      </c>
      <c r="Q16" s="22">
        <f>'2.ПП'!J32</f>
        <v>1</v>
      </c>
      <c r="R16" s="21">
        <f t="shared" si="1"/>
        <v>0.90625</v>
      </c>
      <c r="S16" s="226">
        <f t="shared" si="2"/>
        <v>0.95668749999999991</v>
      </c>
      <c r="T16" s="439" t="str">
        <f t="shared" si="3"/>
        <v>Средняя</v>
      </c>
      <c r="U16" s="20">
        <f t="shared" si="5"/>
        <v>0.95668749999999991</v>
      </c>
      <c r="V16" s="4">
        <f t="shared" si="4"/>
        <v>0.90625</v>
      </c>
      <c r="W16" s="126">
        <f t="shared" si="6"/>
        <v>9.375E-2</v>
      </c>
    </row>
    <row r="17" spans="1:27" ht="46.5" hidden="1" customHeight="1" outlineLevel="1" x14ac:dyDescent="0.25">
      <c r="A17" s="11" t="s">
        <v>260</v>
      </c>
      <c r="B17" s="225" t="s">
        <v>992</v>
      </c>
      <c r="C17" s="215">
        <f>'1. Показатели'!R61</f>
        <v>2</v>
      </c>
      <c r="D17" s="215">
        <f>'1. Показатели'!S61</f>
        <v>0</v>
      </c>
      <c r="E17" s="215">
        <f>'1. Показатели'!T61</f>
        <v>1</v>
      </c>
      <c r="F17" s="215">
        <f>'1. Показатели'!U61</f>
        <v>1</v>
      </c>
      <c r="G17" s="215">
        <f>'1. Показатели'!V61</f>
        <v>0</v>
      </c>
      <c r="H17" s="215">
        <f>'1. Показатели'!W61</f>
        <v>0</v>
      </c>
      <c r="I17" s="21">
        <f>'1. Показатели'!H61</f>
        <v>1</v>
      </c>
      <c r="J17" s="215">
        <f>'1. Показатели'!Z61</f>
        <v>0</v>
      </c>
      <c r="K17" s="215">
        <f>'1. Показатели'!AA61</f>
        <v>1</v>
      </c>
      <c r="L17" s="215">
        <f>'1. Показатели'!AB61</f>
        <v>1</v>
      </c>
      <c r="M17" s="21">
        <f>'1. Показатели'!I61</f>
        <v>0.89726840855106893</v>
      </c>
      <c r="N17" s="22">
        <f>'2.ПП'!G35</f>
        <v>17</v>
      </c>
      <c r="O17" s="22">
        <f>'2.ПП'!H35</f>
        <v>17</v>
      </c>
      <c r="P17" s="22">
        <f>'2.ПП'!I35</f>
        <v>0</v>
      </c>
      <c r="Q17" s="22">
        <f>'2.ПП'!J35</f>
        <v>0</v>
      </c>
      <c r="R17" s="21">
        <f t="shared" si="1"/>
        <v>1</v>
      </c>
      <c r="S17" s="226">
        <f t="shared" si="2"/>
        <v>0.95354394299287404</v>
      </c>
      <c r="T17" s="439" t="str">
        <f t="shared" si="3"/>
        <v>Средняя</v>
      </c>
      <c r="U17" s="20">
        <f t="shared" si="5"/>
        <v>0.95354394299287404</v>
      </c>
      <c r="V17" s="4">
        <f t="shared" si="4"/>
        <v>1</v>
      </c>
      <c r="W17" s="126">
        <f t="shared" si="6"/>
        <v>0</v>
      </c>
    </row>
    <row r="18" spans="1:27" ht="24" customHeight="1" collapsed="1" x14ac:dyDescent="0.25">
      <c r="A18" s="17">
        <v>2</v>
      </c>
      <c r="B18" s="197" t="s">
        <v>1065</v>
      </c>
      <c r="C18" s="115">
        <f>'1. Показатели'!R64</f>
        <v>38</v>
      </c>
      <c r="D18" s="428">
        <f>'1. Показатели'!S64</f>
        <v>1</v>
      </c>
      <c r="E18" s="428">
        <f>'1. Показатели'!T64</f>
        <v>7</v>
      </c>
      <c r="F18" s="428">
        <f>'1. Показатели'!U64</f>
        <v>28</v>
      </c>
      <c r="G18" s="428">
        <f>'1. Показатели'!V64</f>
        <v>2</v>
      </c>
      <c r="H18" s="428">
        <f>'1. Показатели'!W64</f>
        <v>0</v>
      </c>
      <c r="I18" s="18">
        <f>'1. Показатели'!H64</f>
        <v>0.99755869801690233</v>
      </c>
      <c r="J18" s="429">
        <f>'1. Показатели'!Z64</f>
        <v>15</v>
      </c>
      <c r="K18" s="429">
        <f>'1. Показатели'!AA64</f>
        <v>4</v>
      </c>
      <c r="L18" s="429">
        <f>'1. Показатели'!AB64</f>
        <v>4</v>
      </c>
      <c r="M18" s="18">
        <f>'1. Показатели'!I64</f>
        <v>1.0882975118760061</v>
      </c>
      <c r="N18" s="429">
        <f>'2.ПП'!G38</f>
        <v>115</v>
      </c>
      <c r="O18" s="429">
        <f>'2.ПП'!H38</f>
        <v>88</v>
      </c>
      <c r="P18" s="429">
        <f>'2.ПП'!I38</f>
        <v>23</v>
      </c>
      <c r="Q18" s="429">
        <f>'2.ПП'!J38</f>
        <v>4</v>
      </c>
      <c r="R18" s="19">
        <f t="shared" si="1"/>
        <v>0.86521739130434783</v>
      </c>
      <c r="S18" s="18">
        <f t="shared" ref="S18:S26" si="7">I18*$I$8+(M18-3%)*$M$8+R18*$R$8</f>
        <v>0.97249782551819464</v>
      </c>
      <c r="T18" s="25" t="str">
        <f t="shared" ref="T18:T26" si="8">IF(S18&gt;=97%,"Высокая",IF((S18&gt;=92%)*AND(S18&lt;97%),"Средняя",IF((S18&gt;=85%)*AND(S18&lt;92%),"Ниже среднего","Низкая")))</f>
        <v>Высокая</v>
      </c>
      <c r="U18" s="20">
        <f t="shared" si="5"/>
        <v>0.97249782551819464</v>
      </c>
      <c r="V18" s="4">
        <f t="shared" si="4"/>
        <v>0.86521739130434783</v>
      </c>
      <c r="W18" s="126">
        <f t="shared" si="6"/>
        <v>0.13234130671255451</v>
      </c>
      <c r="X18" s="130"/>
      <c r="Y18" s="130"/>
      <c r="Z18" s="130"/>
      <c r="AA18" s="130"/>
    </row>
    <row r="19" spans="1:27" ht="24" hidden="1" customHeight="1" outlineLevel="1" x14ac:dyDescent="0.25">
      <c r="A19" s="143" t="s">
        <v>88</v>
      </c>
      <c r="B19" s="225" t="s">
        <v>190</v>
      </c>
      <c r="C19" s="215">
        <f>'1. Показатели'!R73</f>
        <v>9</v>
      </c>
      <c r="D19" s="215">
        <f>'1. Показатели'!S73</f>
        <v>0</v>
      </c>
      <c r="E19" s="215">
        <f>'1. Показатели'!T73</f>
        <v>5</v>
      </c>
      <c r="F19" s="215">
        <f>'1. Показатели'!U73</f>
        <v>4</v>
      </c>
      <c r="G19" s="215">
        <f>'1. Показатели'!V73</f>
        <v>0</v>
      </c>
      <c r="H19" s="215">
        <f>'1. Показатели'!W73</f>
        <v>0</v>
      </c>
      <c r="I19" s="21">
        <f>'1. Показатели'!H73</f>
        <v>1</v>
      </c>
      <c r="J19" s="22">
        <f>'1. Показатели'!Z73</f>
        <v>5</v>
      </c>
      <c r="K19" s="22">
        <f>'1. Показатели'!AA73</f>
        <v>0</v>
      </c>
      <c r="L19" s="22">
        <f>'1. Показатели'!AB73</f>
        <v>0</v>
      </c>
      <c r="M19" s="21">
        <f>'1. Показатели'!I73</f>
        <v>1.1967286036036036</v>
      </c>
      <c r="N19" s="22">
        <f>'2.ПП'!G42</f>
        <v>22</v>
      </c>
      <c r="O19" s="22">
        <f>'2.ПП'!H42</f>
        <v>18</v>
      </c>
      <c r="P19" s="22">
        <f>'2.ПП'!I42</f>
        <v>3</v>
      </c>
      <c r="Q19" s="22">
        <f>'2.ПП'!J42</f>
        <v>1</v>
      </c>
      <c r="R19" s="21">
        <f t="shared" si="1"/>
        <v>0.88636363636363635</v>
      </c>
      <c r="S19" s="226">
        <f t="shared" si="7"/>
        <v>1.0185822839885339</v>
      </c>
      <c r="T19" s="485" t="str">
        <f t="shared" si="8"/>
        <v>Высокая</v>
      </c>
      <c r="U19" s="20">
        <f t="shared" si="5"/>
        <v>1.0185822839885339</v>
      </c>
      <c r="V19" s="4">
        <f t="shared" si="4"/>
        <v>0.88636363636363635</v>
      </c>
      <c r="W19" s="126">
        <f t="shared" si="6"/>
        <v>0.11363636363636365</v>
      </c>
    </row>
    <row r="20" spans="1:27" ht="27" hidden="1" customHeight="1" outlineLevel="1" x14ac:dyDescent="0.25">
      <c r="A20" s="143" t="s">
        <v>96</v>
      </c>
      <c r="B20" s="225" t="s">
        <v>1158</v>
      </c>
      <c r="C20" s="215">
        <f>'1. Показатели'!R83</f>
        <v>9</v>
      </c>
      <c r="D20" s="215">
        <f>'1. Показатели'!S83</f>
        <v>0</v>
      </c>
      <c r="E20" s="215">
        <f>'1. Показатели'!T83</f>
        <v>0</v>
      </c>
      <c r="F20" s="215">
        <f>'1. Показатели'!U83</f>
        <v>8</v>
      </c>
      <c r="G20" s="215">
        <f>'1. Показатели'!V83</f>
        <v>1</v>
      </c>
      <c r="H20" s="215">
        <f>'1. Показатели'!W83</f>
        <v>0</v>
      </c>
      <c r="I20" s="21">
        <f>'1. Показатели'!H83</f>
        <v>0.99866666666666659</v>
      </c>
      <c r="J20" s="22">
        <f>'1. Показатели'!Z83</f>
        <v>4</v>
      </c>
      <c r="K20" s="22">
        <f>'1. Показатели'!AA83</f>
        <v>1</v>
      </c>
      <c r="L20" s="22">
        <f>'1. Показатели'!AB83</f>
        <v>1</v>
      </c>
      <c r="M20" s="21">
        <f>'1. Показатели'!I83</f>
        <v>1.1111395619503688</v>
      </c>
      <c r="N20" s="22">
        <f>'2.ПП'!G45</f>
        <v>45</v>
      </c>
      <c r="O20" s="22">
        <f>'2.ПП'!H45</f>
        <v>32</v>
      </c>
      <c r="P20" s="22">
        <f>'2.ПП'!I45</f>
        <v>13</v>
      </c>
      <c r="Q20" s="22">
        <f>'2.ПП'!J45</f>
        <v>0</v>
      </c>
      <c r="R20" s="21">
        <f t="shared" si="1"/>
        <v>0.85555555555555551</v>
      </c>
      <c r="S20" s="226">
        <f t="shared" si="7"/>
        <v>0.9774432911270734</v>
      </c>
      <c r="T20" s="485" t="str">
        <f t="shared" si="8"/>
        <v>Высокая</v>
      </c>
      <c r="U20" s="20">
        <f t="shared" si="5"/>
        <v>0.9774432911270734</v>
      </c>
      <c r="V20" s="4">
        <f t="shared" si="4"/>
        <v>0.85555555555555551</v>
      </c>
      <c r="W20" s="127">
        <f t="shared" si="6"/>
        <v>0.14311111111111108</v>
      </c>
    </row>
    <row r="21" spans="1:27" ht="24.75" hidden="1" customHeight="1" outlineLevel="1" x14ac:dyDescent="0.25">
      <c r="A21" s="143" t="s">
        <v>101</v>
      </c>
      <c r="B21" s="225" t="s">
        <v>1159</v>
      </c>
      <c r="C21" s="215">
        <f>'1. Показатели'!R93</f>
        <v>9</v>
      </c>
      <c r="D21" s="215">
        <f>'1. Показатели'!S93</f>
        <v>0</v>
      </c>
      <c r="E21" s="215">
        <f>'1. Показатели'!T93</f>
        <v>1</v>
      </c>
      <c r="F21" s="215">
        <f>'1. Показатели'!U93</f>
        <v>7</v>
      </c>
      <c r="G21" s="215">
        <f>'1. Показатели'!V93</f>
        <v>1</v>
      </c>
      <c r="H21" s="215">
        <f>'1. Показатели'!W93</f>
        <v>0</v>
      </c>
      <c r="I21" s="21">
        <f>'1. Показатели'!H93</f>
        <v>0.99129686962504293</v>
      </c>
      <c r="J21" s="22">
        <f>'1. Показатели'!Z93</f>
        <v>4</v>
      </c>
      <c r="K21" s="22">
        <f>'1. Показатели'!AA93</f>
        <v>0</v>
      </c>
      <c r="L21" s="22">
        <f>'1. Показатели'!AB93</f>
        <v>2</v>
      </c>
      <c r="M21" s="21">
        <f>'1. Показатели'!I93</f>
        <v>1.0656876592307611</v>
      </c>
      <c r="N21" s="22">
        <f>'2.ПП'!G49</f>
        <v>21</v>
      </c>
      <c r="O21" s="22">
        <f>'2.ПП'!H49</f>
        <v>18</v>
      </c>
      <c r="P21" s="22">
        <f>'2.ПП'!I49</f>
        <v>2</v>
      </c>
      <c r="Q21" s="22">
        <f>'2.ПП'!J49</f>
        <v>1</v>
      </c>
      <c r="R21" s="21">
        <f t="shared" si="1"/>
        <v>0.90476190476190477</v>
      </c>
      <c r="S21" s="226">
        <f t="shared" si="7"/>
        <v>0.97654640828494588</v>
      </c>
      <c r="T21" s="485" t="str">
        <f t="shared" si="8"/>
        <v>Высокая</v>
      </c>
      <c r="U21" s="20">
        <f t="shared" si="5"/>
        <v>0.97654640828494588</v>
      </c>
      <c r="V21" s="4">
        <f t="shared" si="4"/>
        <v>0.90476190476190477</v>
      </c>
      <c r="W21" s="126">
        <f t="shared" si="6"/>
        <v>8.6534964863138164E-2</v>
      </c>
    </row>
    <row r="22" spans="1:27" ht="26.25" hidden="1" customHeight="1" outlineLevel="1" x14ac:dyDescent="0.25">
      <c r="A22" s="143" t="s">
        <v>186</v>
      </c>
      <c r="B22" s="225" t="s">
        <v>1160</v>
      </c>
      <c r="C22" s="231">
        <f>'1. Показатели'!R103</f>
        <v>3</v>
      </c>
      <c r="D22" s="231">
        <f>'1. Показатели'!S103</f>
        <v>1</v>
      </c>
      <c r="E22" s="231">
        <f>'1. Показатели'!T103</f>
        <v>0</v>
      </c>
      <c r="F22" s="231">
        <f>'1. Показатели'!U103</f>
        <v>2</v>
      </c>
      <c r="G22" s="231">
        <f>'1. Показатели'!V103</f>
        <v>0</v>
      </c>
      <c r="H22" s="231">
        <f>'1. Показатели'!W103</f>
        <v>0</v>
      </c>
      <c r="I22" s="21">
        <f>'1. Показатели'!H103</f>
        <v>1</v>
      </c>
      <c r="J22" s="231">
        <f>'1. Показатели'!Z103</f>
        <v>0</v>
      </c>
      <c r="K22" s="231">
        <f>'1. Показатели'!AA103</f>
        <v>1</v>
      </c>
      <c r="L22" s="231">
        <f>'1. Показатели'!AB103</f>
        <v>0</v>
      </c>
      <c r="M22" s="21">
        <f>'1. Показатели'!I103</f>
        <v>1.0081466395112015</v>
      </c>
      <c r="N22" s="22">
        <f>'2.ПП'!G52</f>
        <v>27</v>
      </c>
      <c r="O22" s="22">
        <f>'2.ПП'!H52</f>
        <v>20</v>
      </c>
      <c r="P22" s="22">
        <f>'2.ПП'!I52</f>
        <v>5</v>
      </c>
      <c r="Q22" s="22">
        <f>'2.ПП'!J52</f>
        <v>2</v>
      </c>
      <c r="R22" s="21">
        <f t="shared" si="1"/>
        <v>0.83333333333333337</v>
      </c>
      <c r="S22" s="226">
        <f t="shared" si="7"/>
        <v>0.9340179904955872</v>
      </c>
      <c r="T22" s="485" t="str">
        <f t="shared" si="8"/>
        <v>Средняя</v>
      </c>
      <c r="U22" s="20">
        <f t="shared" si="5"/>
        <v>0.9340179904955872</v>
      </c>
      <c r="V22" s="4">
        <f t="shared" si="4"/>
        <v>0.83333333333333337</v>
      </c>
      <c r="W22" s="126">
        <f t="shared" si="6"/>
        <v>0.16666666666666663</v>
      </c>
    </row>
    <row r="23" spans="1:27" ht="31.5" customHeight="1" collapsed="1" x14ac:dyDescent="0.25">
      <c r="A23" s="17" t="s">
        <v>261</v>
      </c>
      <c r="B23" s="197" t="s">
        <v>1090</v>
      </c>
      <c r="C23" s="428">
        <f>'1. Показатели'!R107</f>
        <v>27</v>
      </c>
      <c r="D23" s="428">
        <f>'1. Показатели'!S107</f>
        <v>3</v>
      </c>
      <c r="E23" s="428">
        <f>'1. Показатели'!T107</f>
        <v>3</v>
      </c>
      <c r="F23" s="428">
        <f>'1. Показатели'!U107</f>
        <v>18</v>
      </c>
      <c r="G23" s="428">
        <f>'1. Показатели'!V107</f>
        <v>2</v>
      </c>
      <c r="H23" s="428">
        <f>'1. Показатели'!W107</f>
        <v>1</v>
      </c>
      <c r="I23" s="18">
        <f>'1. Показатели'!H107</f>
        <v>0.98624298111281261</v>
      </c>
      <c r="J23" s="429">
        <f>'1. Показатели'!Z107</f>
        <v>10</v>
      </c>
      <c r="K23" s="429">
        <f>'1. Показатели'!AA107</f>
        <v>6</v>
      </c>
      <c r="L23" s="429">
        <f>'1. Показатели'!AB107</f>
        <v>2</v>
      </c>
      <c r="M23" s="18">
        <f>'1. Показатели'!I107</f>
        <v>1.0637313282477079</v>
      </c>
      <c r="N23" s="447">
        <f>'2.ПП'!G56</f>
        <v>166</v>
      </c>
      <c r="O23" s="447">
        <f>'2.ПП'!H56</f>
        <v>117</v>
      </c>
      <c r="P23" s="447">
        <f>'2.ПП'!I56</f>
        <v>43</v>
      </c>
      <c r="Q23" s="447">
        <f>'2.ПП'!J56</f>
        <v>6</v>
      </c>
      <c r="R23" s="444">
        <f t="shared" si="1"/>
        <v>0.83433734939759041</v>
      </c>
      <c r="S23" s="30">
        <f t="shared" si="7"/>
        <v>0.94969693150969814</v>
      </c>
      <c r="T23" s="124" t="str">
        <f t="shared" si="8"/>
        <v>Средняя</v>
      </c>
      <c r="U23" s="20">
        <f t="shared" si="5"/>
        <v>0.94969693150969814</v>
      </c>
      <c r="V23" s="4">
        <f t="shared" si="4"/>
        <v>0.83433734939759041</v>
      </c>
      <c r="W23" s="127">
        <f t="shared" si="6"/>
        <v>0.1519056317152222</v>
      </c>
    </row>
    <row r="24" spans="1:27" ht="34.5" hidden="1" customHeight="1" outlineLevel="1" x14ac:dyDescent="0.25">
      <c r="A24" s="143" t="s">
        <v>104</v>
      </c>
      <c r="B24" s="225" t="s">
        <v>993</v>
      </c>
      <c r="C24" s="112">
        <f>'1. Показатели'!R113</f>
        <v>5</v>
      </c>
      <c r="D24" s="112">
        <f>'1. Показатели'!S113</f>
        <v>1</v>
      </c>
      <c r="E24" s="112">
        <f>'1. Показатели'!T113</f>
        <v>0</v>
      </c>
      <c r="F24" s="112">
        <f>'1. Показатели'!U113</f>
        <v>4</v>
      </c>
      <c r="G24" s="112">
        <f>'1. Показатели'!V113</f>
        <v>0</v>
      </c>
      <c r="H24" s="112">
        <f>'1. Показатели'!W113</f>
        <v>0</v>
      </c>
      <c r="I24" s="113">
        <f>'1. Показатели'!H113</f>
        <v>1</v>
      </c>
      <c r="J24" s="114">
        <f>'1. Показатели'!Z113</f>
        <v>1</v>
      </c>
      <c r="K24" s="114">
        <f>'1. Показатели'!AA113</f>
        <v>2</v>
      </c>
      <c r="L24" s="114">
        <f>'1. Показатели'!AB113</f>
        <v>0</v>
      </c>
      <c r="M24" s="21">
        <f>'1. Показатели'!I113</f>
        <v>1.0078740157480315</v>
      </c>
      <c r="N24" s="22">
        <f>'2.ПП'!G60</f>
        <v>18</v>
      </c>
      <c r="O24" s="22">
        <f>'2.ПП'!H60</f>
        <v>13</v>
      </c>
      <c r="P24" s="22">
        <f>'2.ПП'!I60</f>
        <v>3</v>
      </c>
      <c r="Q24" s="22">
        <f>'2.ПП'!J60</f>
        <v>2</v>
      </c>
      <c r="R24" s="21">
        <f t="shared" si="1"/>
        <v>0.80555555555555558</v>
      </c>
      <c r="S24" s="226">
        <f t="shared" si="7"/>
        <v>0.92420034995625544</v>
      </c>
      <c r="T24" s="21" t="str">
        <f t="shared" si="8"/>
        <v>Средняя</v>
      </c>
      <c r="U24" s="20">
        <f t="shared" si="5"/>
        <v>0.92420034995625544</v>
      </c>
      <c r="V24" s="4">
        <f t="shared" si="4"/>
        <v>0.80555555555555558</v>
      </c>
      <c r="W24" s="127">
        <f t="shared" si="6"/>
        <v>0.19444444444444442</v>
      </c>
    </row>
    <row r="25" spans="1:27" ht="38.25" hidden="1" customHeight="1" outlineLevel="1" x14ac:dyDescent="0.25">
      <c r="A25" s="143" t="s">
        <v>109</v>
      </c>
      <c r="B25" s="225" t="s">
        <v>192</v>
      </c>
      <c r="C25" s="112">
        <f>'1. Показатели'!R119</f>
        <v>12</v>
      </c>
      <c r="D25" s="112">
        <f>'1. Показатели'!S119</f>
        <v>0</v>
      </c>
      <c r="E25" s="112">
        <f>'1. Показатели'!T119</f>
        <v>1</v>
      </c>
      <c r="F25" s="112">
        <f>'1. Показатели'!U119</f>
        <v>10</v>
      </c>
      <c r="G25" s="112">
        <f>'1. Показатели'!V119</f>
        <v>1</v>
      </c>
      <c r="H25" s="112">
        <f>'1. Показатели'!W119</f>
        <v>0</v>
      </c>
      <c r="I25" s="113">
        <f>'1. Показатели'!H119</f>
        <v>0.98915262889229194</v>
      </c>
      <c r="J25" s="114">
        <f>'1. Показатели'!Z119</f>
        <v>7</v>
      </c>
      <c r="K25" s="114">
        <f>'1. Показатели'!AA119</f>
        <v>2</v>
      </c>
      <c r="L25" s="114">
        <f>'1. Показатели'!AB119</f>
        <v>0</v>
      </c>
      <c r="M25" s="113">
        <f>'1. Показатели'!I119</f>
        <v>1.1171927564993944</v>
      </c>
      <c r="N25" s="22">
        <f>'2.ПП'!G63</f>
        <v>129</v>
      </c>
      <c r="O25" s="22">
        <f>'2.ПП'!H63</f>
        <v>93</v>
      </c>
      <c r="P25" s="22">
        <f>'2.ПП'!I63</f>
        <v>33</v>
      </c>
      <c r="Q25" s="22">
        <f>'2.ПП'!J63</f>
        <v>3</v>
      </c>
      <c r="R25" s="21">
        <f t="shared" si="1"/>
        <v>0.84883720930232553</v>
      </c>
      <c r="S25" s="226">
        <f t="shared" si="7"/>
        <v>0.97435627669828961</v>
      </c>
      <c r="T25" s="21" t="str">
        <f t="shared" si="8"/>
        <v>Высокая</v>
      </c>
      <c r="U25" s="20">
        <f t="shared" si="5"/>
        <v>0.97435627669828961</v>
      </c>
      <c r="V25" s="4">
        <f t="shared" si="4"/>
        <v>0.84883720930232553</v>
      </c>
      <c r="W25" s="127">
        <f t="shared" si="6"/>
        <v>0.14031541958996641</v>
      </c>
    </row>
    <row r="26" spans="1:27" ht="43.5" hidden="1" customHeight="1" outlineLevel="1" x14ac:dyDescent="0.25">
      <c r="A26" s="143" t="s">
        <v>118</v>
      </c>
      <c r="B26" s="224" t="s">
        <v>994</v>
      </c>
      <c r="C26" s="112">
        <f>'1. Показатели'!R132</f>
        <v>5</v>
      </c>
      <c r="D26" s="112">
        <f>'1. Показатели'!S132</f>
        <v>0</v>
      </c>
      <c r="E26" s="112">
        <f>'1. Показатели'!T132</f>
        <v>1</v>
      </c>
      <c r="F26" s="112">
        <f>'1. Показатели'!U132</f>
        <v>2</v>
      </c>
      <c r="G26" s="112">
        <f>'1. Показатели'!V132</f>
        <v>1</v>
      </c>
      <c r="H26" s="112">
        <f>'1. Показатели'!W132</f>
        <v>1</v>
      </c>
      <c r="I26" s="113">
        <f>'1. Показатели'!H132</f>
        <v>0.96</v>
      </c>
      <c r="J26" s="114">
        <f>'1. Показатели'!Z132</f>
        <v>1</v>
      </c>
      <c r="K26" s="114">
        <f>'1. Показатели'!AA132</f>
        <v>0</v>
      </c>
      <c r="L26" s="114">
        <f>'1. Показатели'!AB132</f>
        <v>2</v>
      </c>
      <c r="M26" s="113">
        <f>'1. Показатели'!I132</f>
        <v>0.93707982838417614</v>
      </c>
      <c r="N26" s="22">
        <f>'2.ПП'!G67</f>
        <v>15</v>
      </c>
      <c r="O26" s="22">
        <f>'2.ПП'!H67</f>
        <v>7</v>
      </c>
      <c r="P26" s="22">
        <f>'2.ПП'!I67</f>
        <v>7</v>
      </c>
      <c r="Q26" s="22">
        <f>'2.ПП'!J67</f>
        <v>1</v>
      </c>
      <c r="R26" s="21">
        <f t="shared" si="1"/>
        <v>0.7</v>
      </c>
      <c r="S26" s="226">
        <f t="shared" si="7"/>
        <v>0.85047793993446164</v>
      </c>
      <c r="T26" s="21" t="str">
        <f t="shared" si="8"/>
        <v>Ниже среднего</v>
      </c>
      <c r="U26" s="20">
        <f t="shared" si="5"/>
        <v>0.85047793993446164</v>
      </c>
      <c r="V26" s="4">
        <f t="shared" si="4"/>
        <v>0.7</v>
      </c>
      <c r="W26" s="127">
        <f t="shared" si="6"/>
        <v>0.26</v>
      </c>
    </row>
    <row r="27" spans="1:27" ht="22.5" hidden="1" outlineLevel="1" x14ac:dyDescent="0.25">
      <c r="A27" s="143" t="s">
        <v>238</v>
      </c>
      <c r="B27" s="225" t="s">
        <v>191</v>
      </c>
      <c r="C27" s="113" t="s">
        <v>41</v>
      </c>
      <c r="D27" s="113" t="s">
        <v>41</v>
      </c>
      <c r="E27" s="113" t="s">
        <v>41</v>
      </c>
      <c r="F27" s="113" t="s">
        <v>41</v>
      </c>
      <c r="G27" s="113" t="s">
        <v>41</v>
      </c>
      <c r="H27" s="113" t="s">
        <v>41</v>
      </c>
      <c r="I27" s="113" t="s">
        <v>41</v>
      </c>
      <c r="J27" s="113" t="s">
        <v>41</v>
      </c>
      <c r="K27" s="113" t="s">
        <v>41</v>
      </c>
      <c r="L27" s="113" t="s">
        <v>41</v>
      </c>
      <c r="M27" s="21" t="s">
        <v>41</v>
      </c>
      <c r="N27" s="22">
        <f>'2.ПП'!G70</f>
        <v>4</v>
      </c>
      <c r="O27" s="22">
        <f>'2.ПП'!H70</f>
        <v>4</v>
      </c>
      <c r="P27" s="22">
        <f>'2.ПП'!I70</f>
        <v>0</v>
      </c>
      <c r="Q27" s="22">
        <f>'2.ПП'!J70</f>
        <v>0</v>
      </c>
      <c r="R27" s="21">
        <f t="shared" si="1"/>
        <v>1</v>
      </c>
      <c r="S27" s="226" t="s">
        <v>41</v>
      </c>
      <c r="T27" s="123" t="s">
        <v>41</v>
      </c>
      <c r="U27" s="20" t="e">
        <f t="shared" si="5"/>
        <v>#VALUE!</v>
      </c>
      <c r="V27" s="4">
        <f t="shared" si="4"/>
        <v>1</v>
      </c>
      <c r="W27" s="126" t="e">
        <f t="shared" si="6"/>
        <v>#VALUE!</v>
      </c>
    </row>
    <row r="28" spans="1:27" ht="21" collapsed="1" x14ac:dyDescent="0.25">
      <c r="A28" s="17" t="s">
        <v>262</v>
      </c>
      <c r="B28" s="197" t="s">
        <v>1066</v>
      </c>
      <c r="C28" s="115">
        <f>'1. Показатели'!R138</f>
        <v>16</v>
      </c>
      <c r="D28" s="115">
        <f>'1. Показатели'!S138</f>
        <v>0</v>
      </c>
      <c r="E28" s="115">
        <f>'1. Показатели'!T138</f>
        <v>1</v>
      </c>
      <c r="F28" s="115">
        <f>'1. Показатели'!U138</f>
        <v>13</v>
      </c>
      <c r="G28" s="115">
        <f>'1. Показатели'!V138</f>
        <v>0</v>
      </c>
      <c r="H28" s="115">
        <f>'1. Показатели'!W138</f>
        <v>2</v>
      </c>
      <c r="I28" s="30">
        <f>'1. Показатели'!H138</f>
        <v>0.93574868389566879</v>
      </c>
      <c r="J28" s="429">
        <f>'1. Показатели'!Z138</f>
        <v>8</v>
      </c>
      <c r="K28" s="429">
        <f>'1. Показатели'!AA138</f>
        <v>0</v>
      </c>
      <c r="L28" s="429">
        <f>'1. Показатели'!AB138</f>
        <v>4</v>
      </c>
      <c r="M28" s="18">
        <f>'1. Показатели'!I138</f>
        <v>1.0094455409578145</v>
      </c>
      <c r="N28" s="429">
        <f>'2.ПП'!G71</f>
        <v>42</v>
      </c>
      <c r="O28" s="429">
        <f>'2.ПП'!H71</f>
        <v>39</v>
      </c>
      <c r="P28" s="429">
        <f>'2.ПП'!I71</f>
        <v>2</v>
      </c>
      <c r="Q28" s="429">
        <f>'2.ПП'!J71</f>
        <v>1</v>
      </c>
      <c r="R28" s="30">
        <f t="shared" si="1"/>
        <v>0.95238095238095233</v>
      </c>
      <c r="S28" s="30">
        <f>I28*$I$8+(M28-3%)*$M$8+R28*$R$8</f>
        <v>0.95686387783726889</v>
      </c>
      <c r="T28" s="124" t="str">
        <f>IF(S28&gt;=97%,"Высокая",IF((S28&gt;=92%)*AND(S28&lt;97%),"Средняя",IF((S28&gt;=85%)*AND(S28&lt;92%),"Ниже среднего","Низкая")))</f>
        <v>Средняя</v>
      </c>
      <c r="U28" s="20">
        <f t="shared" si="5"/>
        <v>0.95686387783726889</v>
      </c>
      <c r="V28" s="4">
        <f t="shared" si="4"/>
        <v>0.95238095238095233</v>
      </c>
      <c r="W28" s="127">
        <f t="shared" si="6"/>
        <v>-1.6632268485283541E-2</v>
      </c>
    </row>
    <row r="29" spans="1:27" ht="22.5" hidden="1" outlineLevel="1" x14ac:dyDescent="0.25">
      <c r="A29" s="143" t="s">
        <v>121</v>
      </c>
      <c r="B29" s="225" t="s">
        <v>995</v>
      </c>
      <c r="C29" s="215">
        <f>'1. Показатели'!R141</f>
        <v>6</v>
      </c>
      <c r="D29" s="215">
        <f>'1. Показатели'!S141</f>
        <v>0</v>
      </c>
      <c r="E29" s="215">
        <f>'1. Показатели'!T141</f>
        <v>0</v>
      </c>
      <c r="F29" s="215">
        <f>'1. Показатели'!U141</f>
        <v>6</v>
      </c>
      <c r="G29" s="215">
        <f>'1. Показатели'!V141</f>
        <v>0</v>
      </c>
      <c r="H29" s="215">
        <f>'1. Показатели'!W141</f>
        <v>0</v>
      </c>
      <c r="I29" s="21">
        <f>'1. Показатели'!H141</f>
        <v>1</v>
      </c>
      <c r="J29" s="22">
        <f>'1. Показатели'!Z141</f>
        <v>3</v>
      </c>
      <c r="K29" s="22">
        <f>'1. Показатели'!AA141</f>
        <v>0</v>
      </c>
      <c r="L29" s="22">
        <f>'1. Показатели'!AB141</f>
        <v>1</v>
      </c>
      <c r="M29" s="21">
        <f>'1. Показатели'!I141</f>
        <v>1.10496641205024</v>
      </c>
      <c r="N29" s="488">
        <f>'2.ПП'!G75</f>
        <v>12</v>
      </c>
      <c r="O29" s="488">
        <f>'2.ПП'!H75</f>
        <v>12</v>
      </c>
      <c r="P29" s="488">
        <f>'2.ПП'!I75</f>
        <v>0</v>
      </c>
      <c r="Q29" s="488">
        <f>'2.ПП'!J75</f>
        <v>0</v>
      </c>
      <c r="R29" s="21">
        <f t="shared" si="1"/>
        <v>1</v>
      </c>
      <c r="S29" s="226">
        <f>I29*$I$8+(M29-3%)*$M$8+R29*$R$8</f>
        <v>1.0262382442175841</v>
      </c>
      <c r="T29" s="21" t="str">
        <f>IF(S29&gt;=97%,"Высокая",IF((S29&gt;=92%)*AND(S29&lt;97%),"Средняя",IF((S29&gt;=85%)*AND(S29&lt;92%),"Ниже среднего","Низкая")))</f>
        <v>Высокая</v>
      </c>
      <c r="U29" s="20">
        <f t="shared" si="5"/>
        <v>1.0262382442175841</v>
      </c>
      <c r="V29" s="4">
        <f t="shared" si="4"/>
        <v>1</v>
      </c>
      <c r="W29" s="127">
        <f t="shared" si="6"/>
        <v>0</v>
      </c>
    </row>
    <row r="30" spans="1:27" ht="33.75" hidden="1" outlineLevel="1" x14ac:dyDescent="0.25">
      <c r="A30" s="143" t="s">
        <v>125</v>
      </c>
      <c r="B30" s="225" t="s">
        <v>996</v>
      </c>
      <c r="C30" s="215">
        <f>'1. Показатели'!R148</f>
        <v>4</v>
      </c>
      <c r="D30" s="215">
        <f>'1. Показатели'!S148</f>
        <v>0</v>
      </c>
      <c r="E30" s="215">
        <f>'1. Показатели'!T148</f>
        <v>0</v>
      </c>
      <c r="F30" s="215">
        <f>'1. Показатели'!U148</f>
        <v>2</v>
      </c>
      <c r="G30" s="215">
        <f>'1. Показатели'!V148</f>
        <v>0</v>
      </c>
      <c r="H30" s="215">
        <f>'1. Показатели'!W148</f>
        <v>2</v>
      </c>
      <c r="I30" s="21">
        <f>'1. Показатели'!H148</f>
        <v>0.74299473558267537</v>
      </c>
      <c r="J30" s="22">
        <f>'1. Показатели'!Z148</f>
        <v>1</v>
      </c>
      <c r="K30" s="22">
        <f>'1. Показатели'!AA148</f>
        <v>0</v>
      </c>
      <c r="L30" s="22">
        <f>'1. Показатели'!AB148</f>
        <v>2</v>
      </c>
      <c r="M30" s="21">
        <f>'1. Показатели'!I148</f>
        <v>0.7665466277375298</v>
      </c>
      <c r="N30" s="488">
        <f>'2.ПП'!G79</f>
        <v>14</v>
      </c>
      <c r="O30" s="488">
        <f>'2.ПП'!H79</f>
        <v>13</v>
      </c>
      <c r="P30" s="488">
        <f>'2.ПП'!I79</f>
        <v>1</v>
      </c>
      <c r="Q30" s="488">
        <f>'2.ПП'!J79</f>
        <v>0</v>
      </c>
      <c r="R30" s="21">
        <f t="shared" si="1"/>
        <v>0.9642857142857143</v>
      </c>
      <c r="S30" s="226">
        <f>I30*$I$8+(M30-3%)*$M$8+R30*$R$8</f>
        <v>0.8181897403829379</v>
      </c>
      <c r="T30" s="21" t="str">
        <f>IF(S30&gt;=97%,"Высокая",IF((S30&gt;=92%)*AND(S30&lt;97%),"Средняя",IF((S30&gt;=85%)*AND(S30&lt;92%),"Ниже среднего","Низкая")))</f>
        <v>Низкая</v>
      </c>
      <c r="U30" s="20">
        <f t="shared" si="5"/>
        <v>0.8181897403829379</v>
      </c>
      <c r="V30" s="4">
        <f t="shared" si="4"/>
        <v>0.9642857142857143</v>
      </c>
      <c r="W30" s="127">
        <f t="shared" si="6"/>
        <v>-0.22129097870303893</v>
      </c>
    </row>
    <row r="31" spans="1:27" ht="25.5" hidden="1" customHeight="1" outlineLevel="1" x14ac:dyDescent="0.25">
      <c r="A31" s="143" t="s">
        <v>128</v>
      </c>
      <c r="B31" s="225" t="s">
        <v>997</v>
      </c>
      <c r="C31" s="215">
        <f>'1. Показатели'!R153</f>
        <v>4</v>
      </c>
      <c r="D31" s="215">
        <f>'1. Показатели'!S153</f>
        <v>0</v>
      </c>
      <c r="E31" s="215">
        <f>'1. Показатели'!T153</f>
        <v>0</v>
      </c>
      <c r="F31" s="215">
        <f>'1. Показатели'!U153</f>
        <v>4</v>
      </c>
      <c r="G31" s="215">
        <f>'1. Показатели'!V153</f>
        <v>0</v>
      </c>
      <c r="H31" s="215">
        <f>'1. Показатели'!W153</f>
        <v>0</v>
      </c>
      <c r="I31" s="21">
        <f>'1. Показатели'!H153</f>
        <v>1</v>
      </c>
      <c r="J31" s="22">
        <f>'1. Показатели'!Z153</f>
        <v>2</v>
      </c>
      <c r="K31" s="22">
        <f>'1. Показатели'!AA153</f>
        <v>0</v>
      </c>
      <c r="L31" s="22">
        <f>'1. Показатели'!AB153</f>
        <v>1</v>
      </c>
      <c r="M31" s="21">
        <f>'1. Показатели'!I153</f>
        <v>1.049879254889502</v>
      </c>
      <c r="N31" s="488">
        <f>'2.ПП'!G83</f>
        <v>15</v>
      </c>
      <c r="O31" s="488">
        <f>'2.ПП'!H83</f>
        <v>13</v>
      </c>
      <c r="P31" s="488">
        <f>'2.ПП'!I83</f>
        <v>1</v>
      </c>
      <c r="Q31" s="488">
        <f>'2.ПП'!J83</f>
        <v>1</v>
      </c>
      <c r="R31" s="21">
        <f t="shared" si="1"/>
        <v>0.9</v>
      </c>
      <c r="S31" s="226">
        <f>I31*$I$8+(M31-3%)*$M$8+R31*$R$8</f>
        <v>0.97195773921132567</v>
      </c>
      <c r="T31" s="21" t="str">
        <f>IF(S31&gt;=97%,"Высокая",IF((S31&gt;=92%)*AND(S31&lt;97%),"Средняя",IF((S31&gt;=85%)*AND(S31&lt;92%),"Ниже среднего","Низкая")))</f>
        <v>Высокая</v>
      </c>
      <c r="U31" s="20">
        <f t="shared" si="5"/>
        <v>0.97195773921132567</v>
      </c>
      <c r="V31" s="4">
        <f t="shared" si="4"/>
        <v>0.9</v>
      </c>
      <c r="W31" s="127">
        <f t="shared" si="6"/>
        <v>9.9999999999999978E-2</v>
      </c>
    </row>
    <row r="32" spans="1:27" ht="33.75" hidden="1" customHeight="1" outlineLevel="1" x14ac:dyDescent="0.25">
      <c r="A32" s="143" t="s">
        <v>263</v>
      </c>
      <c r="B32" s="225" t="s">
        <v>191</v>
      </c>
      <c r="C32" s="21" t="s">
        <v>41</v>
      </c>
      <c r="D32" s="21" t="s">
        <v>41</v>
      </c>
      <c r="E32" s="21" t="s">
        <v>41</v>
      </c>
      <c r="F32" s="21" t="s">
        <v>41</v>
      </c>
      <c r="G32" s="21" t="s">
        <v>41</v>
      </c>
      <c r="H32" s="21" t="s">
        <v>41</v>
      </c>
      <c r="I32" s="21" t="s">
        <v>41</v>
      </c>
      <c r="J32" s="21" t="s">
        <v>41</v>
      </c>
      <c r="K32" s="21" t="s">
        <v>41</v>
      </c>
      <c r="L32" s="21" t="s">
        <v>41</v>
      </c>
      <c r="M32" s="21" t="s">
        <v>41</v>
      </c>
      <c r="N32" s="488">
        <f>'2.ПП'!G87</f>
        <v>1</v>
      </c>
      <c r="O32" s="488">
        <f>'2.ПП'!H87</f>
        <v>1</v>
      </c>
      <c r="P32" s="488">
        <f>'2.ПП'!I87</f>
        <v>0</v>
      </c>
      <c r="Q32" s="488">
        <f>'2.ПП'!J87</f>
        <v>0</v>
      </c>
      <c r="R32" s="21">
        <f t="shared" si="1"/>
        <v>1</v>
      </c>
      <c r="S32" s="23" t="s">
        <v>41</v>
      </c>
      <c r="T32" s="439" t="s">
        <v>41</v>
      </c>
      <c r="U32" s="20" t="e">
        <f t="shared" si="5"/>
        <v>#VALUE!</v>
      </c>
      <c r="V32" s="4">
        <f t="shared" si="4"/>
        <v>1</v>
      </c>
      <c r="W32" s="126" t="e">
        <f t="shared" si="6"/>
        <v>#VALUE!</v>
      </c>
    </row>
    <row r="33" spans="1:23" ht="36" customHeight="1" collapsed="1" x14ac:dyDescent="0.25">
      <c r="A33" s="17" t="s">
        <v>264</v>
      </c>
      <c r="B33" s="197" t="s">
        <v>1067</v>
      </c>
      <c r="C33" s="428">
        <f>'1. Показатели'!R158</f>
        <v>22</v>
      </c>
      <c r="D33" s="428">
        <f>'1. Показатели'!S158</f>
        <v>6</v>
      </c>
      <c r="E33" s="428">
        <f>'1. Показатели'!T158</f>
        <v>1</v>
      </c>
      <c r="F33" s="428">
        <f>'1. Показатели'!U158</f>
        <v>13</v>
      </c>
      <c r="G33" s="428">
        <f>'1. Показатели'!V158</f>
        <v>2</v>
      </c>
      <c r="H33" s="428">
        <f>'1. Показатели'!W158</f>
        <v>0</v>
      </c>
      <c r="I33" s="18">
        <f>'1. Показатели'!H158</f>
        <v>0.99314618644067787</v>
      </c>
      <c r="J33" s="429">
        <f>'1. Показатели'!Z158</f>
        <v>6</v>
      </c>
      <c r="K33" s="429">
        <f>'1. Показатели'!AA158</f>
        <v>0</v>
      </c>
      <c r="L33" s="429">
        <f>'1. Показатели'!AB158</f>
        <v>4</v>
      </c>
      <c r="M33" s="30">
        <f>'1. Показатели'!I158</f>
        <v>0.94137846060645225</v>
      </c>
      <c r="N33" s="429">
        <f>'2.ПП'!G88</f>
        <v>105</v>
      </c>
      <c r="O33" s="429">
        <f>'2.ПП'!H88</f>
        <v>98</v>
      </c>
      <c r="P33" s="429">
        <f>'2.ПП'!I88</f>
        <v>3</v>
      </c>
      <c r="Q33" s="429">
        <f>'2.ПП'!J88</f>
        <v>4</v>
      </c>
      <c r="R33" s="30">
        <f t="shared" si="1"/>
        <v>0.94761904761904758</v>
      </c>
      <c r="S33" s="30">
        <f>I33*$I$8+(M33-3%)*$M$8+R33*$R$8</f>
        <v>0.94859298381112822</v>
      </c>
      <c r="T33" s="124" t="str">
        <f>IF(S33&gt;=97%,"Высокая",IF((S33&gt;=92%)*AND(S33&lt;97%),"Средняя",IF((S33&gt;=85%)*AND(S33&lt;92%),"Ниже среднего","Низкая")))</f>
        <v>Средняя</v>
      </c>
      <c r="U33" s="20">
        <f t="shared" si="5"/>
        <v>0.94859298381112822</v>
      </c>
      <c r="V33" s="4">
        <f t="shared" si="4"/>
        <v>0.94761904761904758</v>
      </c>
      <c r="W33" s="126">
        <f t="shared" si="6"/>
        <v>4.5527138821630286E-2</v>
      </c>
    </row>
    <row r="34" spans="1:23" hidden="1" outlineLevel="1" x14ac:dyDescent="0.25">
      <c r="A34" s="143" t="s">
        <v>132</v>
      </c>
      <c r="B34" s="225" t="s">
        <v>193</v>
      </c>
      <c r="C34" s="230">
        <f>'1. Показатели'!R166</f>
        <v>5</v>
      </c>
      <c r="D34" s="230">
        <f>'1. Показатели'!S166</f>
        <v>0</v>
      </c>
      <c r="E34" s="230">
        <f>'1. Показатели'!T166</f>
        <v>0</v>
      </c>
      <c r="F34" s="230">
        <f>'1. Показатели'!U166</f>
        <v>5</v>
      </c>
      <c r="G34" s="230">
        <f>'1. Показатели'!V166</f>
        <v>0</v>
      </c>
      <c r="H34" s="230">
        <f>'1. Показатели'!W166</f>
        <v>0</v>
      </c>
      <c r="I34" s="21">
        <f>'1. Показатели'!H166</f>
        <v>1</v>
      </c>
      <c r="J34" s="231">
        <f>'1. Показатели'!Z166</f>
        <v>3</v>
      </c>
      <c r="K34" s="231">
        <f>'1. Показатели'!AA166</f>
        <v>0</v>
      </c>
      <c r="L34" s="231">
        <f>'1. Показатели'!AB166</f>
        <v>2</v>
      </c>
      <c r="M34" s="21">
        <f>'1. Показатели'!I166</f>
        <v>1.0154622034589156</v>
      </c>
      <c r="N34" s="22">
        <f>'2.ПП'!G92</f>
        <v>27</v>
      </c>
      <c r="O34" s="22">
        <f>'2.ПП'!H92</f>
        <v>26</v>
      </c>
      <c r="P34" s="22">
        <f>'2.ПП'!I92</f>
        <v>0</v>
      </c>
      <c r="Q34" s="22">
        <f>'2.ПП'!J92</f>
        <v>1</v>
      </c>
      <c r="R34" s="21">
        <f t="shared" si="1"/>
        <v>0.96296296296296291</v>
      </c>
      <c r="S34" s="226">
        <f>I34*$I$8+(M34-3%)*$M$8+R34*$R$8</f>
        <v>0.98194880824765751</v>
      </c>
      <c r="T34" s="21" t="str">
        <f>IF(S34&gt;=97%,"Высокая",IF((S34&gt;=92%)*AND(S34&lt;97%),"Средняя",IF((S34&gt;=85%)*AND(S34&lt;92%),"Ниже среднего","Низкая")))</f>
        <v>Высокая</v>
      </c>
      <c r="U34" s="20">
        <f t="shared" si="5"/>
        <v>0.98194880824765751</v>
      </c>
      <c r="V34" s="4">
        <f t="shared" si="4"/>
        <v>0.96296296296296291</v>
      </c>
      <c r="W34" s="126">
        <f t="shared" si="6"/>
        <v>3.703703703703709E-2</v>
      </c>
    </row>
    <row r="35" spans="1:23" ht="33.75" hidden="1" outlineLevel="1" x14ac:dyDescent="0.25">
      <c r="A35" s="143" t="s">
        <v>135</v>
      </c>
      <c r="B35" s="225" t="s">
        <v>1000</v>
      </c>
      <c r="C35" s="230">
        <f>'1. Показатели'!R172</f>
        <v>3</v>
      </c>
      <c r="D35" s="230">
        <f>'1. Показатели'!S172</f>
        <v>0</v>
      </c>
      <c r="E35" s="230">
        <f>'1. Показатели'!T172</f>
        <v>1</v>
      </c>
      <c r="F35" s="230">
        <f>'1. Показатели'!U172</f>
        <v>2</v>
      </c>
      <c r="G35" s="230">
        <f>'1. Показатели'!V172</f>
        <v>0</v>
      </c>
      <c r="H35" s="230">
        <f>'1. Показатели'!W172</f>
        <v>0</v>
      </c>
      <c r="I35" s="21">
        <f>'1. Показатели'!H172</f>
        <v>1</v>
      </c>
      <c r="J35" s="231">
        <f>'1. Показатели'!Z172</f>
        <v>2</v>
      </c>
      <c r="K35" s="231">
        <f>'1. Показатели'!AA172</f>
        <v>0</v>
      </c>
      <c r="L35" s="231">
        <f>'1. Показатели'!AB172</f>
        <v>0</v>
      </c>
      <c r="M35" s="21">
        <f>'1. Показатели'!I172</f>
        <v>1.1611929029822576</v>
      </c>
      <c r="N35" s="22">
        <f>'2.ПП'!G96</f>
        <v>16</v>
      </c>
      <c r="O35" s="22">
        <f>'2.ПП'!H96</f>
        <v>16</v>
      </c>
      <c r="P35" s="22">
        <f>'2.ПП'!I96</f>
        <v>0</v>
      </c>
      <c r="Q35" s="22">
        <f>'2.ПП'!J96</f>
        <v>0</v>
      </c>
      <c r="R35" s="21">
        <f t="shared" si="1"/>
        <v>1</v>
      </c>
      <c r="S35" s="21">
        <f>I35*$I$8+(M35-3%)*$M$8+R35*$R$8</f>
        <v>1.0459175160437901</v>
      </c>
      <c r="T35" s="21" t="str">
        <f>IF(S35&gt;=97%,"Высокая",IF((S35&gt;=92%)*AND(S35&lt;97%),"Средняя",IF((S35&gt;=85%)*AND(S35&lt;92%),"Ниже среднего","Низкая")))</f>
        <v>Высокая</v>
      </c>
      <c r="U35" s="20">
        <f t="shared" si="5"/>
        <v>1.0459175160437901</v>
      </c>
      <c r="V35" s="4">
        <f t="shared" si="4"/>
        <v>1</v>
      </c>
      <c r="W35" s="126">
        <f t="shared" si="6"/>
        <v>0</v>
      </c>
    </row>
    <row r="36" spans="1:23" ht="28.5" hidden="1" customHeight="1" outlineLevel="1" x14ac:dyDescent="0.25">
      <c r="A36" s="143" t="s">
        <v>265</v>
      </c>
      <c r="B36" s="225" t="s">
        <v>1001</v>
      </c>
      <c r="C36" s="231">
        <f>'1. Показатели'!R176</f>
        <v>7</v>
      </c>
      <c r="D36" s="231">
        <f>'1. Показатели'!S176</f>
        <v>2</v>
      </c>
      <c r="E36" s="231">
        <f>'1. Показатели'!T176</f>
        <v>0</v>
      </c>
      <c r="F36" s="231">
        <f>'1. Показатели'!U176</f>
        <v>3</v>
      </c>
      <c r="G36" s="231">
        <f>'1. Показатели'!V176</f>
        <v>2</v>
      </c>
      <c r="H36" s="231">
        <f>'1. Показатели'!W176</f>
        <v>0</v>
      </c>
      <c r="I36" s="21">
        <f>'1. Показатели'!H176</f>
        <v>0.97806779661016952</v>
      </c>
      <c r="J36" s="231">
        <f>'1. Показатели'!Z176</f>
        <v>1</v>
      </c>
      <c r="K36" s="231">
        <f>'1. Показатели'!AA176</f>
        <v>0</v>
      </c>
      <c r="L36" s="231">
        <f>'1. Показатели'!AB176</f>
        <v>2</v>
      </c>
      <c r="M36" s="21">
        <f>'1. Показатели'!I176</f>
        <v>0.67136259426847655</v>
      </c>
      <c r="N36" s="22">
        <f>'2.ПП'!G100</f>
        <v>56</v>
      </c>
      <c r="O36" s="22">
        <f>'2.ПП'!H100</f>
        <v>50</v>
      </c>
      <c r="P36" s="22">
        <f>'2.ПП'!I100</f>
        <v>3</v>
      </c>
      <c r="Q36" s="22">
        <f>'2.ПП'!J100</f>
        <v>3</v>
      </c>
      <c r="R36" s="21">
        <f t="shared" si="1"/>
        <v>0.9196428571428571</v>
      </c>
      <c r="S36" s="21">
        <f>I36*$I$8+(M36-3%)*$M$8+R36*$R$8</f>
        <v>0.83977224697701769</v>
      </c>
      <c r="T36" s="21" t="str">
        <f>IF(S36&gt;=97%,"Высокая",IF((S36&gt;=92%)*AND(S36&lt;97%),"Средняя",IF((S36&gt;=85%)*AND(S36&lt;92%),"Ниже среднего","Низкая")))</f>
        <v>Низкая</v>
      </c>
      <c r="U36" s="20">
        <f t="shared" si="5"/>
        <v>0.83977224697701769</v>
      </c>
      <c r="V36" s="4">
        <f t="shared" si="4"/>
        <v>0.9196428571428571</v>
      </c>
      <c r="W36" s="126">
        <f t="shared" si="6"/>
        <v>5.842493946731242E-2</v>
      </c>
    </row>
    <row r="37" spans="1:23" ht="28.5" hidden="1" customHeight="1" outlineLevel="1" x14ac:dyDescent="0.25">
      <c r="A37" s="143" t="s">
        <v>23</v>
      </c>
      <c r="B37" s="225" t="s">
        <v>1002</v>
      </c>
      <c r="C37" s="230" t="s">
        <v>41</v>
      </c>
      <c r="D37" s="230" t="s">
        <v>41</v>
      </c>
      <c r="E37" s="230" t="s">
        <v>41</v>
      </c>
      <c r="F37" s="230" t="s">
        <v>41</v>
      </c>
      <c r="G37" s="230" t="s">
        <v>41</v>
      </c>
      <c r="H37" s="230" t="s">
        <v>41</v>
      </c>
      <c r="I37" s="21" t="s">
        <v>41</v>
      </c>
      <c r="J37" s="230" t="s">
        <v>41</v>
      </c>
      <c r="K37" s="230" t="s">
        <v>41</v>
      </c>
      <c r="L37" s="230" t="s">
        <v>41</v>
      </c>
      <c r="M37" s="21" t="s">
        <v>41</v>
      </c>
      <c r="N37" s="22">
        <f>'2.ПП'!G104</f>
        <v>6</v>
      </c>
      <c r="O37" s="22">
        <f>'2.ПП'!H104</f>
        <v>6</v>
      </c>
      <c r="P37" s="22">
        <f>'2.ПП'!I104</f>
        <v>0</v>
      </c>
      <c r="Q37" s="22">
        <f>'2.ПП'!J104</f>
        <v>0</v>
      </c>
      <c r="R37" s="21">
        <f t="shared" si="1"/>
        <v>1</v>
      </c>
      <c r="S37" s="21" t="s">
        <v>41</v>
      </c>
      <c r="T37" s="133" t="s">
        <v>41</v>
      </c>
      <c r="U37" s="20"/>
      <c r="V37" s="4">
        <f t="shared" si="4"/>
        <v>1</v>
      </c>
      <c r="W37" s="126"/>
    </row>
    <row r="38" spans="1:23" ht="21" collapsed="1" x14ac:dyDescent="0.25">
      <c r="A38" s="17" t="s">
        <v>266</v>
      </c>
      <c r="B38" s="197" t="s">
        <v>1091</v>
      </c>
      <c r="C38" s="115">
        <f>'1. Показатели'!R184</f>
        <v>22</v>
      </c>
      <c r="D38" s="115">
        <f>'1. Показатели'!S184</f>
        <v>0</v>
      </c>
      <c r="E38" s="115">
        <f>'1. Показатели'!T184</f>
        <v>3</v>
      </c>
      <c r="F38" s="115">
        <f>'1. Показатели'!U184</f>
        <v>13</v>
      </c>
      <c r="G38" s="115">
        <f>'1. Показатели'!V184</f>
        <v>2</v>
      </c>
      <c r="H38" s="115">
        <f>'1. Показатели'!W184</f>
        <v>4</v>
      </c>
      <c r="I38" s="30">
        <f>'1. Показатели'!H184</f>
        <v>0.93650092531860973</v>
      </c>
      <c r="J38" s="116">
        <f>'1. Показатели'!Z184</f>
        <v>10</v>
      </c>
      <c r="K38" s="116">
        <f>'1. Показатели'!AA184</f>
        <v>3</v>
      </c>
      <c r="L38" s="116">
        <f>'1. Показатели'!AB184</f>
        <v>3</v>
      </c>
      <c r="M38" s="18">
        <f>'1. Показатели'!I184</f>
        <v>1.0254738932023471</v>
      </c>
      <c r="N38" s="429">
        <f>'2.ПП'!G107</f>
        <v>20</v>
      </c>
      <c r="O38" s="429">
        <f>'2.ПП'!H107</f>
        <v>15</v>
      </c>
      <c r="P38" s="429">
        <f>'2.ПП'!I107</f>
        <v>5</v>
      </c>
      <c r="Q38" s="429">
        <f>'2.ПП'!J107</f>
        <v>0</v>
      </c>
      <c r="R38" s="19">
        <f t="shared" si="1"/>
        <v>0.875</v>
      </c>
      <c r="S38" s="30">
        <f>I38*$I$8+(M38-3%)*$M$8+R38*$R$8</f>
        <v>0.93561614021640427</v>
      </c>
      <c r="T38" s="124" t="str">
        <f>IF(S38&gt;=97%,"Высокая",IF((S38&gt;=92%)*AND(S38&lt;97%),"Средняя",IF((S38&gt;=85%)*AND(S38&lt;92%),"Ниже среднего","Низкая")))</f>
        <v>Средняя</v>
      </c>
      <c r="U38" s="20">
        <f t="shared" ref="U38:U48" si="9">I38*0.3+(M38-3%)*0.35+R38*0.35</f>
        <v>0.93561614021640427</v>
      </c>
      <c r="V38" s="4">
        <f t="shared" si="4"/>
        <v>0.875</v>
      </c>
      <c r="W38" s="126">
        <f t="shared" ref="W38:W71" si="10">I38-R38</f>
        <v>6.1500925318609734E-2</v>
      </c>
    </row>
    <row r="39" spans="1:23" ht="40.5" hidden="1" customHeight="1" outlineLevel="1" x14ac:dyDescent="0.25">
      <c r="A39" s="143" t="s">
        <v>137</v>
      </c>
      <c r="B39" s="225" t="s">
        <v>1003</v>
      </c>
      <c r="C39" s="112">
        <f>'1. Показатели'!R189</f>
        <v>6</v>
      </c>
      <c r="D39" s="112">
        <f>'1. Показатели'!S189</f>
        <v>0</v>
      </c>
      <c r="E39" s="112">
        <f>'1. Показатели'!T189</f>
        <v>1</v>
      </c>
      <c r="F39" s="112">
        <f>'1. Показатели'!U189</f>
        <v>4</v>
      </c>
      <c r="G39" s="112">
        <f>'1. Показатели'!V189</f>
        <v>0</v>
      </c>
      <c r="H39" s="112">
        <f>'1. Показатели'!W189</f>
        <v>1</v>
      </c>
      <c r="I39" s="113">
        <f>'1. Показатели'!H189</f>
        <v>0.93489583333333337</v>
      </c>
      <c r="J39" s="114">
        <f>'1. Показатели'!Z189</f>
        <v>2</v>
      </c>
      <c r="K39" s="114">
        <f>'1. Показатели'!AA189</f>
        <v>1</v>
      </c>
      <c r="L39" s="114">
        <f>'1. Показатели'!AB189</f>
        <v>0</v>
      </c>
      <c r="M39" s="21">
        <f>'1. Показатели'!I189</f>
        <v>1.1534155328798186</v>
      </c>
      <c r="N39" s="22">
        <f>'2.ПП'!G111</f>
        <v>14</v>
      </c>
      <c r="O39" s="22">
        <f>'2.ПП'!H111</f>
        <v>10</v>
      </c>
      <c r="P39" s="22">
        <f>'2.ПП'!I111</f>
        <v>4</v>
      </c>
      <c r="Q39" s="22">
        <f>'2.ПП'!J111</f>
        <v>0</v>
      </c>
      <c r="R39" s="21">
        <f t="shared" si="1"/>
        <v>0.8571428571428571</v>
      </c>
      <c r="S39" s="226">
        <f>I39*$I$8+(M39-3%)*$M$8+R39*$R$8</f>
        <v>0.97366418650793651</v>
      </c>
      <c r="T39" s="21" t="str">
        <f>IF(S39&gt;=97%,"Высокая",IF((S39&gt;=92%)*AND(S39&lt;97%),"Средняя",IF((S39&gt;=85%)*AND(S39&lt;92%),"Ниже среднего","Низкая")))</f>
        <v>Высокая</v>
      </c>
      <c r="U39" s="20">
        <f t="shared" si="9"/>
        <v>0.97366418650793651</v>
      </c>
      <c r="V39" s="4">
        <f t="shared" si="4"/>
        <v>0.8571428571428571</v>
      </c>
      <c r="W39" s="126">
        <f t="shared" si="10"/>
        <v>7.7752976190476275E-2</v>
      </c>
    </row>
    <row r="40" spans="1:23" ht="51" hidden="1" customHeight="1" outlineLevel="1" x14ac:dyDescent="0.25">
      <c r="A40" s="143" t="s">
        <v>138</v>
      </c>
      <c r="B40" s="225" t="s">
        <v>1004</v>
      </c>
      <c r="C40" s="112">
        <f>'1. Показатели'!R196</f>
        <v>3</v>
      </c>
      <c r="D40" s="112">
        <f>'1. Показатели'!S196</f>
        <v>0</v>
      </c>
      <c r="E40" s="112">
        <f>'1. Показатели'!T196</f>
        <v>0</v>
      </c>
      <c r="F40" s="112">
        <f>'1. Показатели'!U196</f>
        <v>2</v>
      </c>
      <c r="G40" s="112">
        <f>'1. Показатели'!V196</f>
        <v>1</v>
      </c>
      <c r="H40" s="112">
        <f>'1. Показатели'!W196</f>
        <v>0</v>
      </c>
      <c r="I40" s="113">
        <f>'1. Показатели'!H196</f>
        <v>0.97142857142857142</v>
      </c>
      <c r="J40" s="114">
        <f>'1. Показатели'!Z196</f>
        <v>0</v>
      </c>
      <c r="K40" s="114">
        <f>'1. Показатели'!AA196</f>
        <v>0</v>
      </c>
      <c r="L40" s="114">
        <f>'1. Показатели'!AB196</f>
        <v>0</v>
      </c>
      <c r="M40" s="113">
        <f>'1. Показатели'!I196</f>
        <v>1</v>
      </c>
      <c r="N40" s="22">
        <f>'2.ПП'!G114</f>
        <v>2</v>
      </c>
      <c r="O40" s="22">
        <f>'2.ПП'!H114</f>
        <v>1</v>
      </c>
      <c r="P40" s="22">
        <f>'2.ПП'!I114</f>
        <v>1</v>
      </c>
      <c r="Q40" s="22">
        <f>'2.ПП'!J114</f>
        <v>0</v>
      </c>
      <c r="R40" s="21">
        <f t="shared" si="1"/>
        <v>0.75</v>
      </c>
      <c r="S40" s="226">
        <f t="shared" ref="S40:S41" si="11">I40*$I$8+(M40-3%)*$M$8+R40*$R$8</f>
        <v>0.89342857142857135</v>
      </c>
      <c r="T40" s="21" t="str">
        <f t="shared" ref="T40:T41" si="12">IF(S40&gt;=97%,"Высокая",IF((S40&gt;=92%)*AND(S40&lt;97%),"Средняя",IF((S40&gt;=85%)*AND(S40&lt;92%),"Ниже среднего","Низкая")))</f>
        <v>Ниже среднего</v>
      </c>
      <c r="U40" s="20">
        <f t="shared" si="9"/>
        <v>0.89342857142857135</v>
      </c>
      <c r="V40" s="4">
        <f t="shared" si="4"/>
        <v>0.75</v>
      </c>
      <c r="W40" s="127">
        <f t="shared" si="10"/>
        <v>0.22142857142857142</v>
      </c>
    </row>
    <row r="41" spans="1:23" ht="30.75" hidden="1" customHeight="1" outlineLevel="1" x14ac:dyDescent="0.25">
      <c r="A41" s="143" t="s">
        <v>267</v>
      </c>
      <c r="B41" s="225" t="s">
        <v>1005</v>
      </c>
      <c r="C41" s="434">
        <f>'1. Показатели'!R200</f>
        <v>8</v>
      </c>
      <c r="D41" s="434">
        <f>'1. Показатели'!S200</f>
        <v>0</v>
      </c>
      <c r="E41" s="434">
        <f>'1. Показатели'!T200</f>
        <v>1</v>
      </c>
      <c r="F41" s="434">
        <f>'1. Показатели'!U200</f>
        <v>4</v>
      </c>
      <c r="G41" s="434">
        <f>'1. Показатели'!V200</f>
        <v>1</v>
      </c>
      <c r="H41" s="434">
        <f>'1. Показатели'!W200</f>
        <v>2</v>
      </c>
      <c r="I41" s="113">
        <f>'1. Показатели'!H200</f>
        <v>0.91717801985659131</v>
      </c>
      <c r="J41" s="434">
        <f>'1. Показатели'!Z200</f>
        <v>4</v>
      </c>
      <c r="K41" s="434">
        <f>'1. Показатели'!AA200</f>
        <v>2</v>
      </c>
      <c r="L41" s="434">
        <f>'1. Показатели'!AB200</f>
        <v>2</v>
      </c>
      <c r="M41" s="21">
        <f>'1. Показатели'!I200</f>
        <v>0.979412030476563</v>
      </c>
      <c r="N41" s="22">
        <f>'2.ПП'!G117</f>
        <v>4</v>
      </c>
      <c r="O41" s="22">
        <f>'2.ПП'!H117</f>
        <v>4</v>
      </c>
      <c r="P41" s="22">
        <f>'2.ПП'!I117</f>
        <v>0</v>
      </c>
      <c r="Q41" s="22">
        <f>'2.ПП'!J117</f>
        <v>0</v>
      </c>
      <c r="R41" s="21">
        <f t="shared" ref="R41:R71" si="13">(O41+0.5*P41)/N41</f>
        <v>1</v>
      </c>
      <c r="S41" s="226">
        <f t="shared" si="11"/>
        <v>0.95744761662377442</v>
      </c>
      <c r="T41" s="21" t="str">
        <f t="shared" si="12"/>
        <v>Средняя</v>
      </c>
      <c r="U41" s="20">
        <f t="shared" si="9"/>
        <v>0.95744761662377442</v>
      </c>
      <c r="V41" s="4">
        <f t="shared" si="4"/>
        <v>1</v>
      </c>
      <c r="W41" s="126">
        <f t="shared" si="10"/>
        <v>-8.2821980143408691E-2</v>
      </c>
    </row>
    <row r="42" spans="1:23" ht="33.75" hidden="1" customHeight="1" outlineLevel="1" x14ac:dyDescent="0.25">
      <c r="A42" s="422" t="s">
        <v>139</v>
      </c>
      <c r="B42" s="225" t="s">
        <v>1423</v>
      </c>
      <c r="C42" s="434">
        <f>'1. Показатели'!R209</f>
        <v>1</v>
      </c>
      <c r="D42" s="434">
        <f>'1. Показатели'!S209</f>
        <v>0</v>
      </c>
      <c r="E42" s="434">
        <f>'1. Показатели'!T209</f>
        <v>0</v>
      </c>
      <c r="F42" s="434">
        <f>'1. Показатели'!U209</f>
        <v>1</v>
      </c>
      <c r="G42" s="434">
        <f>'1. Показатели'!V209</f>
        <v>0</v>
      </c>
      <c r="H42" s="434">
        <f>'1. Показатели'!W209</f>
        <v>0</v>
      </c>
      <c r="I42" s="113">
        <f>'1. Показатели'!H209</f>
        <v>1</v>
      </c>
      <c r="J42" s="434">
        <f>'1. Показатели'!Z209</f>
        <v>1</v>
      </c>
      <c r="K42" s="434">
        <f>'1. Показатели'!AA209</f>
        <v>0</v>
      </c>
      <c r="L42" s="434">
        <f>'1. Показатели'!AB209</f>
        <v>0</v>
      </c>
      <c r="M42" s="21">
        <f>'1. Показатели'!I209</f>
        <v>1.0434782608695652</v>
      </c>
      <c r="N42" s="22">
        <f>'2.ПП'!G118</f>
        <v>0</v>
      </c>
      <c r="O42" s="22">
        <f>'2.ПП'!H118</f>
        <v>0</v>
      </c>
      <c r="P42" s="22">
        <f>'2.ПП'!I118</f>
        <v>0</v>
      </c>
      <c r="Q42" s="22">
        <f>'2.ПП'!J118</f>
        <v>0</v>
      </c>
      <c r="R42" s="21" t="s">
        <v>41</v>
      </c>
      <c r="S42" s="122" t="s">
        <v>41</v>
      </c>
      <c r="T42" s="123" t="s">
        <v>41</v>
      </c>
      <c r="U42" s="20"/>
      <c r="W42" s="126"/>
    </row>
    <row r="43" spans="1:23" ht="24" collapsed="1" x14ac:dyDescent="0.25">
      <c r="A43" s="17" t="s">
        <v>268</v>
      </c>
      <c r="B43" s="197" t="s">
        <v>1092</v>
      </c>
      <c r="C43" s="115">
        <f>'1. Показатели'!R211</f>
        <v>40</v>
      </c>
      <c r="D43" s="115">
        <f>'1. Показатели'!S211</f>
        <v>2</v>
      </c>
      <c r="E43" s="115">
        <f>'1. Показатели'!T211</f>
        <v>3</v>
      </c>
      <c r="F43" s="115">
        <f>'1. Показатели'!U211</f>
        <v>27</v>
      </c>
      <c r="G43" s="428">
        <f>'1. Показатели'!V211</f>
        <v>5</v>
      </c>
      <c r="H43" s="428">
        <f>'1. Показатели'!W211</f>
        <v>3</v>
      </c>
      <c r="I43" s="30">
        <f>'1. Показатели'!H211</f>
        <v>0.94301168027513871</v>
      </c>
      <c r="J43" s="429">
        <f>'1. Показатели'!Z211</f>
        <v>5</v>
      </c>
      <c r="K43" s="429">
        <f>'1. Показатели'!AA211</f>
        <v>1</v>
      </c>
      <c r="L43" s="429">
        <f>'1. Показатели'!AB211</f>
        <v>5</v>
      </c>
      <c r="M43" s="30">
        <f>'1. Показатели'!I211</f>
        <v>0.95967738939011793</v>
      </c>
      <c r="N43" s="429">
        <f>'2.ПП'!G120</f>
        <v>83</v>
      </c>
      <c r="O43" s="429">
        <f>'2.ПП'!H120</f>
        <v>54</v>
      </c>
      <c r="P43" s="429">
        <f>'2.ПП'!I120</f>
        <v>17</v>
      </c>
      <c r="Q43" s="429">
        <f>'2.ПП'!J120</f>
        <v>12</v>
      </c>
      <c r="R43" s="444">
        <f t="shared" si="13"/>
        <v>0.75301204819277112</v>
      </c>
      <c r="S43" s="19">
        <f>I43*$I$8+(M43-3%)*$M$8+R43*$R$8</f>
        <v>0.87184480723655278</v>
      </c>
      <c r="T43" s="26" t="str">
        <f>IF(S43&gt;=97%,"Высокая",IF((S43&gt;=92%)*AND(S43&lt;97%),"Средняя",IF((S43&gt;=85%)*AND(S43&lt;92%),"Ниже среднего","Низкая")))</f>
        <v>Ниже среднего</v>
      </c>
      <c r="U43" s="20">
        <f t="shared" si="9"/>
        <v>0.87184480723655278</v>
      </c>
      <c r="V43" s="4">
        <f t="shared" si="4"/>
        <v>0.75301204819277112</v>
      </c>
      <c r="W43" s="126">
        <f t="shared" si="10"/>
        <v>0.18999963208236759</v>
      </c>
    </row>
    <row r="44" spans="1:23" ht="35.25" hidden="1" customHeight="1" outlineLevel="1" x14ac:dyDescent="0.25">
      <c r="A44" s="143" t="s">
        <v>141</v>
      </c>
      <c r="B44" s="225" t="s">
        <v>1006</v>
      </c>
      <c r="C44" s="215">
        <f>'1. Показатели'!R220</f>
        <v>11</v>
      </c>
      <c r="D44" s="215">
        <f>'1. Показатели'!S220</f>
        <v>0</v>
      </c>
      <c r="E44" s="215">
        <f>'1. Показатели'!T220</f>
        <v>2</v>
      </c>
      <c r="F44" s="215">
        <f>'1. Показатели'!U220</f>
        <v>5</v>
      </c>
      <c r="G44" s="215">
        <f>'1. Показатели'!V220</f>
        <v>3</v>
      </c>
      <c r="H44" s="215">
        <f>'1. Показатели'!W220</f>
        <v>1</v>
      </c>
      <c r="I44" s="21">
        <f>'1. Показатели'!H220</f>
        <v>0.96546024242265949</v>
      </c>
      <c r="J44" s="22">
        <f>'1. Показатели'!Z220</f>
        <v>1</v>
      </c>
      <c r="K44" s="22">
        <f>'1. Показатели'!AA220</f>
        <v>1</v>
      </c>
      <c r="L44" s="22">
        <f>'1. Показатели'!AB220</f>
        <v>2</v>
      </c>
      <c r="M44" s="21">
        <f>'1. Показатели'!I220</f>
        <v>1.0003714982911951</v>
      </c>
      <c r="N44" s="22">
        <f>'2.ПП'!G125</f>
        <v>27</v>
      </c>
      <c r="O44" s="22">
        <f>'2.ПП'!H125</f>
        <v>18</v>
      </c>
      <c r="P44" s="22">
        <f>'2.ПП'!I125</f>
        <v>6</v>
      </c>
      <c r="Q44" s="22">
        <f>'2.ПП'!J125</f>
        <v>3</v>
      </c>
      <c r="R44" s="21">
        <f t="shared" si="13"/>
        <v>0.77777777777777779</v>
      </c>
      <c r="S44" s="226">
        <f>I44*$I$8+(M44-3%)*$M$8+R44*$R$8</f>
        <v>0.90149031935093826</v>
      </c>
      <c r="T44" s="22" t="str">
        <f>IF(S44&gt;=97%,"Высокая",IF((S44&gt;=92%)*AND(S44&lt;97%),"Средняя",IF((S44&gt;=85%)*AND(S44&lt;92%),"Ниже среднего","Низкая")))</f>
        <v>Ниже среднего</v>
      </c>
      <c r="U44" s="20">
        <f t="shared" si="9"/>
        <v>0.90149031935093826</v>
      </c>
      <c r="V44" s="4">
        <f t="shared" si="4"/>
        <v>0.77777777777777779</v>
      </c>
      <c r="W44" s="126">
        <f t="shared" si="10"/>
        <v>0.1876824646448817</v>
      </c>
    </row>
    <row r="45" spans="1:23" ht="38.25" hidden="1" customHeight="1" outlineLevel="1" x14ac:dyDescent="0.25">
      <c r="A45" s="143" t="s">
        <v>142</v>
      </c>
      <c r="B45" s="225" t="s">
        <v>1007</v>
      </c>
      <c r="C45" s="215">
        <f>'1. Показатели'!R232</f>
        <v>6</v>
      </c>
      <c r="D45" s="215">
        <f>'1. Показатели'!S232</f>
        <v>0</v>
      </c>
      <c r="E45" s="215">
        <f>'1. Показатели'!T232</f>
        <v>0</v>
      </c>
      <c r="F45" s="215">
        <f>'1. Показатели'!U232</f>
        <v>5</v>
      </c>
      <c r="G45" s="215">
        <f>'1. Показатели'!V232</f>
        <v>1</v>
      </c>
      <c r="H45" s="215">
        <f>'1. Показатели'!W232</f>
        <v>0</v>
      </c>
      <c r="I45" s="21">
        <f>'1. Показатели'!H232</f>
        <v>0.98469387755102034</v>
      </c>
      <c r="J45" s="22">
        <f>'1. Показатели'!Z232</f>
        <v>0</v>
      </c>
      <c r="K45" s="22">
        <f>'1. Показатели'!AA232</f>
        <v>0</v>
      </c>
      <c r="L45" s="22">
        <f>'1. Показатели'!AB232</f>
        <v>1</v>
      </c>
      <c r="M45" s="21">
        <f>'1. Показатели'!I232</f>
        <v>0.92708333333333337</v>
      </c>
      <c r="N45" s="22">
        <f>'2.ПП'!G130</f>
        <v>21</v>
      </c>
      <c r="O45" s="22">
        <f>'2.ПП'!H130</f>
        <v>14</v>
      </c>
      <c r="P45" s="22">
        <f>'2.ПП'!I130</f>
        <v>3</v>
      </c>
      <c r="Q45" s="22">
        <f>'2.ПП'!J130</f>
        <v>4</v>
      </c>
      <c r="R45" s="21">
        <f t="shared" si="13"/>
        <v>0.73809523809523814</v>
      </c>
      <c r="S45" s="226">
        <f>I45*$I$8+(M45-3%)*$M$8+R45*$R$8</f>
        <v>0.86772066326530606</v>
      </c>
      <c r="T45" s="22" t="str">
        <f>IF(S45&gt;=97%,"Высокая",IF((S45&gt;=92%)*AND(S45&lt;97%),"Средняя",IF((S45&gt;=85%)*AND(S45&lt;92%),"Ниже среднего","Низкая")))</f>
        <v>Ниже среднего</v>
      </c>
      <c r="U45" s="20">
        <f t="shared" si="9"/>
        <v>0.86772066326530606</v>
      </c>
      <c r="V45" s="4">
        <f t="shared" si="4"/>
        <v>0.73809523809523814</v>
      </c>
      <c r="W45" s="127">
        <f t="shared" si="10"/>
        <v>0.2465986394557822</v>
      </c>
    </row>
    <row r="46" spans="1:23" ht="29.25" hidden="1" customHeight="1" outlineLevel="1" x14ac:dyDescent="0.25">
      <c r="A46" s="143" t="s">
        <v>269</v>
      </c>
      <c r="B46" s="225" t="s">
        <v>1008</v>
      </c>
      <c r="C46" s="231">
        <f>'1. Показатели'!R239</f>
        <v>3</v>
      </c>
      <c r="D46" s="231">
        <f>'1. Показатели'!S239</f>
        <v>0</v>
      </c>
      <c r="E46" s="231">
        <f>'1. Показатели'!T239</f>
        <v>0</v>
      </c>
      <c r="F46" s="231">
        <f>'1. Показатели'!U239</f>
        <v>2</v>
      </c>
      <c r="G46" s="231">
        <f>'1. Показатели'!V239</f>
        <v>0</v>
      </c>
      <c r="H46" s="231">
        <f>'1. Показатели'!W239</f>
        <v>1</v>
      </c>
      <c r="I46" s="21">
        <f>'1. Показатели'!H239</f>
        <v>0.79199512012012008</v>
      </c>
      <c r="J46" s="231">
        <f>'1. Показатели'!Z239</f>
        <v>0</v>
      </c>
      <c r="K46" s="231">
        <f>'1. Показатели'!AA239</f>
        <v>0</v>
      </c>
      <c r="L46" s="231">
        <f>'1. Показатели'!AB239</f>
        <v>0</v>
      </c>
      <c r="M46" s="21">
        <f>'1. Показатели'!I239</f>
        <v>1</v>
      </c>
      <c r="N46" s="22">
        <f>'2.ПП'!G135</f>
        <v>13</v>
      </c>
      <c r="O46" s="22">
        <f>'2.ПП'!H135</f>
        <v>2</v>
      </c>
      <c r="P46" s="22">
        <f>'2.ПП'!I135</f>
        <v>8</v>
      </c>
      <c r="Q46" s="22">
        <f>'2.ПП'!J135</f>
        <v>3</v>
      </c>
      <c r="R46" s="21">
        <f t="shared" si="13"/>
        <v>0.46153846153846156</v>
      </c>
      <c r="S46" s="226">
        <f>I46*$I$8+(M46-3%)*$M$8+R46*$R$8</f>
        <v>0.73863699757449752</v>
      </c>
      <c r="T46" s="22" t="str">
        <f>IF(S46&gt;=97%,"Высокая",IF((S46&gt;=92%)*AND(S46&lt;97%),"Средняя",IF((S46&gt;=85%)*AND(S46&lt;92%),"Ниже среднего","Низкая")))</f>
        <v>Низкая</v>
      </c>
      <c r="U46" s="20">
        <f t="shared" si="9"/>
        <v>0.73863699757449752</v>
      </c>
      <c r="V46" s="4">
        <f t="shared" si="4"/>
        <v>0.46153846153846156</v>
      </c>
      <c r="W46" s="126">
        <f t="shared" si="10"/>
        <v>0.33045665858165851</v>
      </c>
    </row>
    <row r="47" spans="1:23" ht="50.25" hidden="1" customHeight="1" outlineLevel="1" x14ac:dyDescent="0.25">
      <c r="A47" s="143" t="s">
        <v>144</v>
      </c>
      <c r="B47" s="225" t="s">
        <v>1885</v>
      </c>
      <c r="C47" s="215">
        <f>'1. Показатели'!R243</f>
        <v>10</v>
      </c>
      <c r="D47" s="215">
        <f>'1. Показатели'!S243</f>
        <v>2</v>
      </c>
      <c r="E47" s="215">
        <f>'1. Показатели'!T243</f>
        <v>0</v>
      </c>
      <c r="F47" s="215">
        <f>'1. Показатели'!U243</f>
        <v>7</v>
      </c>
      <c r="G47" s="215">
        <f>'1. Показатели'!V243</f>
        <v>0</v>
      </c>
      <c r="H47" s="215">
        <f>'1. Показатели'!W243</f>
        <v>1</v>
      </c>
      <c r="I47" s="21">
        <f>'1. Показатели'!H243</f>
        <v>0.875</v>
      </c>
      <c r="J47" s="22">
        <f>'1. Показатели'!Z243</f>
        <v>1</v>
      </c>
      <c r="K47" s="22">
        <f>'1. Показатели'!AA243</f>
        <v>0</v>
      </c>
      <c r="L47" s="22">
        <f>'1. Показатели'!AB243</f>
        <v>0</v>
      </c>
      <c r="M47" s="21">
        <f>'1. Показатели'!I243</f>
        <v>1.0505472763760886</v>
      </c>
      <c r="N47" s="22">
        <f>'2.ПП'!G139</f>
        <v>21</v>
      </c>
      <c r="O47" s="22">
        <f>'2.ПП'!H139</f>
        <v>19</v>
      </c>
      <c r="P47" s="22">
        <f>'2.ПП'!I139</f>
        <v>0</v>
      </c>
      <c r="Q47" s="22">
        <f>'2.ПП'!J139</f>
        <v>2</v>
      </c>
      <c r="R47" s="21">
        <f t="shared" si="13"/>
        <v>0.90476190476190477</v>
      </c>
      <c r="S47" s="226">
        <f t="shared" ref="S47:S52" si="14">I47*$I$8+(M47-3%)*$M$8+R47*$R$8</f>
        <v>0.93635821339829761</v>
      </c>
      <c r="T47" s="22" t="str">
        <f t="shared" ref="T47:T52" si="15">IF(S47&gt;=97%,"Высокая",IF((S47&gt;=92%)*AND(S47&lt;97%),"Средняя",IF((S47&gt;=85%)*AND(S47&lt;92%),"Ниже среднего","Низкая")))</f>
        <v>Средняя</v>
      </c>
      <c r="U47" s="20">
        <f t="shared" si="9"/>
        <v>0.93635821339829761</v>
      </c>
      <c r="V47" s="4">
        <f t="shared" si="4"/>
        <v>0.90476190476190477</v>
      </c>
      <c r="W47" s="126">
        <f t="shared" si="10"/>
        <v>-2.9761904761904767E-2</v>
      </c>
    </row>
    <row r="48" spans="1:23" ht="48" hidden="1" customHeight="1" outlineLevel="1" x14ac:dyDescent="0.25">
      <c r="A48" s="143" t="s">
        <v>145</v>
      </c>
      <c r="B48" s="225" t="s">
        <v>1009</v>
      </c>
      <c r="C48" s="215">
        <f>'1. Показатели'!R254</f>
        <v>2</v>
      </c>
      <c r="D48" s="215">
        <f>'1. Показатели'!S254</f>
        <v>0</v>
      </c>
      <c r="E48" s="215">
        <f>'1. Показатели'!T254</f>
        <v>0</v>
      </c>
      <c r="F48" s="215">
        <f>'1. Показатели'!U254</f>
        <v>2</v>
      </c>
      <c r="G48" s="215">
        <f>'1. Показатели'!V254</f>
        <v>0</v>
      </c>
      <c r="H48" s="215">
        <f>'1. Показатели'!W254</f>
        <v>0</v>
      </c>
      <c r="I48" s="21">
        <f>'1. Показатели'!H254</f>
        <v>1</v>
      </c>
      <c r="J48" s="22">
        <f>'1. Показатели'!Z254</f>
        <v>2</v>
      </c>
      <c r="K48" s="22">
        <f>'1. Показатели'!AA254</f>
        <v>0</v>
      </c>
      <c r="L48" s="22">
        <f>'1. Показатели'!AB254</f>
        <v>0</v>
      </c>
      <c r="M48" s="21">
        <f>'1. Показатели'!I254</f>
        <v>1.1023391812865497</v>
      </c>
      <c r="N48" s="22">
        <f>'2.ПП'!G144</f>
        <v>1</v>
      </c>
      <c r="O48" s="22">
        <f>'2.ПП'!H144</f>
        <v>1</v>
      </c>
      <c r="P48" s="22">
        <f>'2.ПП'!I144</f>
        <v>0</v>
      </c>
      <c r="Q48" s="22">
        <f>'2.ПП'!J144</f>
        <v>0</v>
      </c>
      <c r="R48" s="21">
        <f t="shared" si="13"/>
        <v>1</v>
      </c>
      <c r="S48" s="226">
        <f t="shared" si="14"/>
        <v>1.0253187134502924</v>
      </c>
      <c r="T48" s="22" t="str">
        <f t="shared" si="15"/>
        <v>Высокая</v>
      </c>
      <c r="U48" s="20">
        <f t="shared" si="9"/>
        <v>1.0253187134502924</v>
      </c>
      <c r="V48" s="4">
        <f t="shared" si="4"/>
        <v>1</v>
      </c>
      <c r="W48" s="127">
        <f t="shared" si="10"/>
        <v>0</v>
      </c>
    </row>
    <row r="49" spans="1:27" ht="36" customHeight="1" collapsed="1" x14ac:dyDescent="0.25">
      <c r="A49" s="17" t="s">
        <v>146</v>
      </c>
      <c r="B49" s="197" t="s">
        <v>1451</v>
      </c>
      <c r="C49" s="115">
        <f>'1. Показатели'!R257</f>
        <v>17</v>
      </c>
      <c r="D49" s="115">
        <f>'1. Показатели'!S257</f>
        <v>2</v>
      </c>
      <c r="E49" s="115">
        <f>'1. Показатели'!T257</f>
        <v>1</v>
      </c>
      <c r="F49" s="115">
        <f>'1. Показатели'!U257</f>
        <v>10</v>
      </c>
      <c r="G49" s="115">
        <f>'1. Показатели'!V257</f>
        <v>3</v>
      </c>
      <c r="H49" s="115">
        <f>'1. Показатели'!W257</f>
        <v>1</v>
      </c>
      <c r="I49" s="30">
        <f>'1. Показатели'!H257</f>
        <v>0.96874181398476256</v>
      </c>
      <c r="J49" s="116">
        <f>'1. Показатели'!Z257</f>
        <v>8</v>
      </c>
      <c r="K49" s="116">
        <f>'1. Показатели'!AA257</f>
        <v>3</v>
      </c>
      <c r="L49" s="116">
        <f>'1. Показатели'!AB257</f>
        <v>3</v>
      </c>
      <c r="M49" s="18">
        <f>'1. Показатели'!I257</f>
        <v>1.0539968374212965</v>
      </c>
      <c r="N49" s="429">
        <f>'2.ПП'!G146</f>
        <v>31</v>
      </c>
      <c r="O49" s="429">
        <f>'2.ПП'!H146</f>
        <v>26</v>
      </c>
      <c r="P49" s="429">
        <f>'2.ПП'!I146</f>
        <v>2</v>
      </c>
      <c r="Q49" s="429">
        <f>'2.ПП'!J146</f>
        <v>3</v>
      </c>
      <c r="R49" s="30">
        <f t="shared" si="13"/>
        <v>0.87096774193548387</v>
      </c>
      <c r="S49" s="30">
        <f t="shared" si="14"/>
        <v>0.95386014697030175</v>
      </c>
      <c r="T49" s="124" t="str">
        <f t="shared" si="15"/>
        <v>Средняя</v>
      </c>
      <c r="U49" s="20">
        <f t="shared" ref="U49:U71" si="16">I49*0.3+(M49-3%)*0.35+R49*0.35</f>
        <v>0.95386014697030175</v>
      </c>
      <c r="V49" s="4">
        <f t="shared" ref="V49:V71" si="17">(O49+0.5*P49)/N49</f>
        <v>0.87096774193548387</v>
      </c>
      <c r="W49" s="127">
        <f t="shared" si="10"/>
        <v>9.7774072049278682E-2</v>
      </c>
      <c r="AA49"/>
    </row>
    <row r="50" spans="1:27" ht="24.75" hidden="1" customHeight="1" outlineLevel="1" x14ac:dyDescent="0.25">
      <c r="A50" s="143" t="s">
        <v>147</v>
      </c>
      <c r="B50" s="225" t="s">
        <v>1010</v>
      </c>
      <c r="C50" s="112">
        <f>'1. Показатели'!R261</f>
        <v>4</v>
      </c>
      <c r="D50" s="112">
        <f>'1. Показатели'!S261</f>
        <v>0</v>
      </c>
      <c r="E50" s="112">
        <f>'1. Показатели'!T261</f>
        <v>0</v>
      </c>
      <c r="F50" s="112">
        <f>'1. Показатели'!U261</f>
        <v>2</v>
      </c>
      <c r="G50" s="112">
        <f>'1. Показатели'!V261</f>
        <v>1</v>
      </c>
      <c r="H50" s="112">
        <f>'1. Показатели'!W261</f>
        <v>1</v>
      </c>
      <c r="I50" s="113">
        <f>'1. Показатели'!H261</f>
        <v>0.94791859119967437</v>
      </c>
      <c r="J50" s="114">
        <f>'1. Показатели'!Z261</f>
        <v>2</v>
      </c>
      <c r="K50" s="114">
        <f>'1. Показатели'!AA261</f>
        <v>0</v>
      </c>
      <c r="L50" s="114">
        <f>'1. Показатели'!AB261</f>
        <v>2</v>
      </c>
      <c r="M50" s="113">
        <f>'1. Показатели'!I261</f>
        <v>0.92524625690597562</v>
      </c>
      <c r="N50" s="22">
        <f>'2.ПП'!G147</f>
        <v>13</v>
      </c>
      <c r="O50" s="22">
        <f>'2.ПП'!H147</f>
        <v>11</v>
      </c>
      <c r="P50" s="22">
        <f>'2.ПП'!I147</f>
        <v>1</v>
      </c>
      <c r="Q50" s="22">
        <f>'2.ПП'!J147</f>
        <v>1</v>
      </c>
      <c r="R50" s="21">
        <f t="shared" si="13"/>
        <v>0.88461538461538458</v>
      </c>
      <c r="S50" s="226">
        <f t="shared" si="14"/>
        <v>0.90732715189237845</v>
      </c>
      <c r="T50" s="21" t="str">
        <f t="shared" si="15"/>
        <v>Ниже среднего</v>
      </c>
      <c r="U50" s="20">
        <f t="shared" si="16"/>
        <v>0.90732715189237845</v>
      </c>
      <c r="V50" s="4">
        <f t="shared" si="17"/>
        <v>0.88461538461538458</v>
      </c>
      <c r="W50" s="127">
        <f t="shared" si="10"/>
        <v>6.3303206584289784E-2</v>
      </c>
    </row>
    <row r="51" spans="1:27" ht="24" hidden="1" customHeight="1" outlineLevel="1" x14ac:dyDescent="0.25">
      <c r="A51" s="143" t="s">
        <v>1791</v>
      </c>
      <c r="B51" s="225" t="s">
        <v>1011</v>
      </c>
      <c r="C51" s="112">
        <f>'1. Показатели'!R266</f>
        <v>7</v>
      </c>
      <c r="D51" s="112">
        <f>'1. Показатели'!S266</f>
        <v>2</v>
      </c>
      <c r="E51" s="112">
        <f>'1. Показатели'!T266</f>
        <v>0</v>
      </c>
      <c r="F51" s="112">
        <f>'1. Показатели'!U266</f>
        <v>4</v>
      </c>
      <c r="G51" s="112">
        <f>'1. Показатели'!V266</f>
        <v>1</v>
      </c>
      <c r="H51" s="112">
        <f>'1. Показатели'!W266</f>
        <v>0</v>
      </c>
      <c r="I51" s="113">
        <f>'1. Показатели'!H266</f>
        <v>0.97684210526315796</v>
      </c>
      <c r="J51" s="114">
        <f>'1. Показатели'!Z266</f>
        <v>2</v>
      </c>
      <c r="K51" s="114">
        <f>'1. Показатели'!AA266</f>
        <v>3</v>
      </c>
      <c r="L51" s="114">
        <f>'1. Показатели'!AB266</f>
        <v>0</v>
      </c>
      <c r="M51" s="21">
        <f>'1. Показатели'!I266</f>
        <v>1.0981132075471698</v>
      </c>
      <c r="N51" s="22">
        <f>'2.ПП'!G148</f>
        <v>10</v>
      </c>
      <c r="O51" s="22">
        <f>'2.ПП'!H148</f>
        <v>8</v>
      </c>
      <c r="P51" s="22">
        <f>'2.ПП'!I148</f>
        <v>1</v>
      </c>
      <c r="Q51" s="22">
        <f>'2.ПП'!J148</f>
        <v>1</v>
      </c>
      <c r="R51" s="21">
        <f t="shared" si="13"/>
        <v>0.85</v>
      </c>
      <c r="S51" s="226">
        <f t="shared" si="14"/>
        <v>0.96439225422045671</v>
      </c>
      <c r="T51" s="21" t="str">
        <f t="shared" si="15"/>
        <v>Средняя</v>
      </c>
      <c r="U51" s="20">
        <f t="shared" si="16"/>
        <v>0.96439225422045671</v>
      </c>
      <c r="V51" s="4">
        <f t="shared" si="17"/>
        <v>0.85</v>
      </c>
      <c r="W51" s="126">
        <f t="shared" si="10"/>
        <v>0.12684210526315798</v>
      </c>
    </row>
    <row r="52" spans="1:27" ht="33.75" hidden="1" customHeight="1" outlineLevel="1" x14ac:dyDescent="0.25">
      <c r="A52" s="143" t="s">
        <v>1799</v>
      </c>
      <c r="B52" s="225" t="s">
        <v>1012</v>
      </c>
      <c r="C52" s="112">
        <f>'1. Показатели'!R274</f>
        <v>3</v>
      </c>
      <c r="D52" s="112">
        <f>'1. Показатели'!S274</f>
        <v>0</v>
      </c>
      <c r="E52" s="112">
        <f>'1. Показатели'!T274</f>
        <v>1</v>
      </c>
      <c r="F52" s="112">
        <f>'1. Показатели'!U274</f>
        <v>2</v>
      </c>
      <c r="G52" s="112">
        <f>'1. Показатели'!V274</f>
        <v>0</v>
      </c>
      <c r="H52" s="112">
        <f>'1. Показатели'!W274</f>
        <v>0</v>
      </c>
      <c r="I52" s="113">
        <f>'1. Показатели'!H274</f>
        <v>1</v>
      </c>
      <c r="J52" s="114">
        <f>'1. Показатели'!Z274</f>
        <v>2</v>
      </c>
      <c r="K52" s="114">
        <f>'1. Показатели'!AA274</f>
        <v>0</v>
      </c>
      <c r="L52" s="114">
        <f>'1. Показатели'!AB274</f>
        <v>0</v>
      </c>
      <c r="M52" s="113">
        <f>'1. Показатели'!I274</f>
        <v>1.25</v>
      </c>
      <c r="N52" s="22">
        <f>'2.ПП'!G149</f>
        <v>5</v>
      </c>
      <c r="O52" s="22">
        <f>'2.ПП'!H149</f>
        <v>5</v>
      </c>
      <c r="P52" s="22">
        <f>'2.ПП'!I149</f>
        <v>0</v>
      </c>
      <c r="Q52" s="22">
        <f>'2.ПП'!J149</f>
        <v>0</v>
      </c>
      <c r="R52" s="21">
        <f t="shared" si="13"/>
        <v>1</v>
      </c>
      <c r="S52" s="226">
        <f t="shared" si="14"/>
        <v>1.077</v>
      </c>
      <c r="T52" s="21" t="str">
        <f t="shared" si="15"/>
        <v>Высокая</v>
      </c>
      <c r="U52" s="20">
        <f t="shared" si="16"/>
        <v>1.077</v>
      </c>
      <c r="V52" s="4">
        <f t="shared" si="17"/>
        <v>1</v>
      </c>
      <c r="W52" s="127">
        <f t="shared" si="10"/>
        <v>0</v>
      </c>
    </row>
    <row r="53" spans="1:27" ht="36" hidden="1" customHeight="1" outlineLevel="1" x14ac:dyDescent="0.25">
      <c r="A53" s="143" t="s">
        <v>1886</v>
      </c>
      <c r="B53" s="225" t="s">
        <v>1013</v>
      </c>
      <c r="C53" s="113" t="s">
        <v>41</v>
      </c>
      <c r="D53" s="113" t="s">
        <v>41</v>
      </c>
      <c r="E53" s="113" t="s">
        <v>41</v>
      </c>
      <c r="F53" s="113" t="s">
        <v>41</v>
      </c>
      <c r="G53" s="113" t="s">
        <v>41</v>
      </c>
      <c r="H53" s="113" t="s">
        <v>41</v>
      </c>
      <c r="I53" s="113" t="s">
        <v>41</v>
      </c>
      <c r="J53" s="113" t="s">
        <v>41</v>
      </c>
      <c r="K53" s="113" t="s">
        <v>41</v>
      </c>
      <c r="L53" s="113" t="s">
        <v>41</v>
      </c>
      <c r="M53" s="21" t="s">
        <v>41</v>
      </c>
      <c r="N53" s="22">
        <f>'2.ПП'!G150</f>
        <v>3</v>
      </c>
      <c r="O53" s="22">
        <f>'2.ПП'!H150</f>
        <v>2</v>
      </c>
      <c r="P53" s="22">
        <f>'2.ПП'!I150</f>
        <v>0</v>
      </c>
      <c r="Q53" s="22">
        <f>'2.ПП'!J150</f>
        <v>1</v>
      </c>
      <c r="R53" s="21">
        <f t="shared" si="13"/>
        <v>0.66666666666666663</v>
      </c>
      <c r="S53" s="23" t="s">
        <v>41</v>
      </c>
      <c r="T53" s="439" t="s">
        <v>41</v>
      </c>
      <c r="U53" s="442" t="s">
        <v>41</v>
      </c>
      <c r="V53" s="4">
        <f t="shared" si="17"/>
        <v>0.66666666666666663</v>
      </c>
      <c r="W53" s="443" t="s">
        <v>41</v>
      </c>
    </row>
    <row r="54" spans="1:27" ht="33.75" customHeight="1" collapsed="1" x14ac:dyDescent="0.25">
      <c r="A54" s="17" t="s">
        <v>148</v>
      </c>
      <c r="B54" s="197" t="s">
        <v>1068</v>
      </c>
      <c r="C54" s="115">
        <f>'1. Показатели'!R278</f>
        <v>36</v>
      </c>
      <c r="D54" s="115">
        <f>'1. Показатели'!S278</f>
        <v>1</v>
      </c>
      <c r="E54" s="115">
        <f>'1. Показатели'!T278</f>
        <v>2</v>
      </c>
      <c r="F54" s="115">
        <f>'1. Показатели'!U278</f>
        <v>22</v>
      </c>
      <c r="G54" s="115">
        <f>'1. Показатели'!V278</f>
        <v>3</v>
      </c>
      <c r="H54" s="115">
        <f>'1. Показатели'!W278</f>
        <v>8</v>
      </c>
      <c r="I54" s="444">
        <f>'1. Показатели'!H278</f>
        <v>0.80434790113039456</v>
      </c>
      <c r="J54" s="429">
        <f>'1. Показатели'!Z278</f>
        <v>8</v>
      </c>
      <c r="K54" s="429">
        <f>'1. Показатели'!AA278</f>
        <v>8</v>
      </c>
      <c r="L54" s="429">
        <f>'1. Показатели'!AB278</f>
        <v>4</v>
      </c>
      <c r="M54" s="18">
        <f>'1. Показатели'!I278</f>
        <v>1.0222298083597967</v>
      </c>
      <c r="N54" s="429">
        <f>'2.ПП'!G151</f>
        <v>53</v>
      </c>
      <c r="O54" s="429">
        <f>'2.ПП'!H151</f>
        <v>42</v>
      </c>
      <c r="P54" s="429">
        <f>'2.ПП'!I151</f>
        <v>6</v>
      </c>
      <c r="Q54" s="429">
        <f>'2.ПП'!J151</f>
        <v>5</v>
      </c>
      <c r="R54" s="444">
        <f t="shared" si="13"/>
        <v>0.84905660377358494</v>
      </c>
      <c r="S54" s="19">
        <f>I54*$I$8+(M54-3%)*$M$8+R54*$R$8</f>
        <v>0.88575461458580185</v>
      </c>
      <c r="T54" s="26" t="str">
        <f>IF(S54&gt;=97%,"Высокая",IF((S54&gt;=92%)*AND(S54&lt;97%),"Средняя",IF((S54&gt;=85%)*AND(S54&lt;92%),"Ниже среднего","Низкая")))</f>
        <v>Ниже среднего</v>
      </c>
      <c r="U54" s="20">
        <f t="shared" si="16"/>
        <v>0.88575461458580185</v>
      </c>
      <c r="V54" s="4">
        <f t="shared" si="17"/>
        <v>0.84905660377358494</v>
      </c>
      <c r="W54" s="126">
        <f t="shared" si="10"/>
        <v>-4.4708702643190379E-2</v>
      </c>
    </row>
    <row r="55" spans="1:27" ht="24.75" hidden="1" customHeight="1" outlineLevel="1" x14ac:dyDescent="0.25">
      <c r="A55" s="143" t="s">
        <v>477</v>
      </c>
      <c r="B55" s="225" t="s">
        <v>205</v>
      </c>
      <c r="C55" s="215">
        <f>'1. Показатели'!R286</f>
        <v>5</v>
      </c>
      <c r="D55" s="215">
        <f>'1. Показатели'!S286</f>
        <v>0</v>
      </c>
      <c r="E55" s="215">
        <f>'1. Показатели'!T286</f>
        <v>0</v>
      </c>
      <c r="F55" s="215">
        <f>'1. Показатели'!U286</f>
        <v>4</v>
      </c>
      <c r="G55" s="215">
        <f>'1. Показатели'!V286</f>
        <v>1</v>
      </c>
      <c r="H55" s="215">
        <f>'1. Показатели'!W286</f>
        <v>0</v>
      </c>
      <c r="I55" s="21">
        <f>'1. Показатели'!H286</f>
        <v>0.98968058968058981</v>
      </c>
      <c r="J55" s="22">
        <f>'1. Показатели'!Z286</f>
        <v>1</v>
      </c>
      <c r="K55" s="22">
        <f>'1. Показатели'!AA286</f>
        <v>1</v>
      </c>
      <c r="L55" s="22">
        <f>'1. Показатели'!AB286</f>
        <v>0</v>
      </c>
      <c r="M55" s="21">
        <f>'1. Показатели'!I286</f>
        <v>1.1102475439936739</v>
      </c>
      <c r="N55" s="22">
        <f>'2.ПП'!G156</f>
        <v>10</v>
      </c>
      <c r="O55" s="22">
        <f>'2.ПП'!H156</f>
        <v>8</v>
      </c>
      <c r="P55" s="22">
        <f>'2.ПП'!I156</f>
        <v>1</v>
      </c>
      <c r="Q55" s="22">
        <f>'2.ПП'!J156</f>
        <v>1</v>
      </c>
      <c r="R55" s="21">
        <f t="shared" si="13"/>
        <v>0.85</v>
      </c>
      <c r="S55" s="226">
        <f>I55*$I$8+(M55-3%)*$M$8+R55*$R$8</f>
        <v>0.97249081730196274</v>
      </c>
      <c r="T55" s="21" t="str">
        <f>IF(S55&gt;=97%,"Высокая",IF((S55&gt;=92%)*AND(S55&lt;97%),"Средняя",IF((S55&gt;=85%)*AND(S55&lt;92%),"Ниже среднего","Низкая")))</f>
        <v>Высокая</v>
      </c>
      <c r="U55" s="20">
        <f t="shared" si="16"/>
        <v>0.97249081730196274</v>
      </c>
      <c r="V55" s="4">
        <f t="shared" si="17"/>
        <v>0.85</v>
      </c>
      <c r="W55" s="127">
        <f t="shared" si="10"/>
        <v>0.13968058968058983</v>
      </c>
    </row>
    <row r="56" spans="1:27" ht="26.25" hidden="1" customHeight="1" outlineLevel="1" x14ac:dyDescent="0.25">
      <c r="A56" s="143" t="s">
        <v>485</v>
      </c>
      <c r="B56" s="225" t="s">
        <v>207</v>
      </c>
      <c r="C56" s="215">
        <f>'1. Показатели'!R292</f>
        <v>6</v>
      </c>
      <c r="D56" s="215">
        <f>'1. Показатели'!S292</f>
        <v>0</v>
      </c>
      <c r="E56" s="215">
        <f>'1. Показатели'!T292</f>
        <v>1</v>
      </c>
      <c r="F56" s="215">
        <f>'1. Показатели'!U292</f>
        <v>2</v>
      </c>
      <c r="G56" s="215">
        <f>'1. Показатели'!V292</f>
        <v>0</v>
      </c>
      <c r="H56" s="215">
        <f>'1. Показатели'!W292</f>
        <v>3</v>
      </c>
      <c r="I56" s="21">
        <f>'1. Показатели'!H292</f>
        <v>0.70736562597125019</v>
      </c>
      <c r="J56" s="22">
        <f>'1. Показатели'!Z292</f>
        <v>4</v>
      </c>
      <c r="K56" s="22">
        <f>'1. Показатели'!AA292</f>
        <v>0</v>
      </c>
      <c r="L56" s="22">
        <f>'1. Показатели'!AB292</f>
        <v>1</v>
      </c>
      <c r="M56" s="21">
        <f>'1. Показатели'!I292</f>
        <v>1.0764765170474162</v>
      </c>
      <c r="N56" s="22">
        <f>'2.ПП'!G157</f>
        <v>20</v>
      </c>
      <c r="O56" s="22">
        <f>'2.ПП'!H157</f>
        <v>15</v>
      </c>
      <c r="P56" s="22">
        <f>'2.ПП'!I157</f>
        <v>3</v>
      </c>
      <c r="Q56" s="22">
        <f>'2.ПП'!J157</f>
        <v>2</v>
      </c>
      <c r="R56" s="21">
        <f t="shared" si="13"/>
        <v>0.82499999999999996</v>
      </c>
      <c r="S56" s="226">
        <f>I56*$I$8+(M56-3%)*$M$8+R56*$R$8</f>
        <v>0.8672264687579706</v>
      </c>
      <c r="T56" s="21" t="str">
        <f>IF(S56&gt;=97%,"Высокая",IF((S56&gt;=92%)*AND(S56&lt;97%),"Средняя",IF((S56&gt;=85%)*AND(S56&lt;92%),"Ниже среднего","Низкая")))</f>
        <v>Ниже среднего</v>
      </c>
      <c r="U56" s="20">
        <f t="shared" si="16"/>
        <v>0.8672264687579706</v>
      </c>
      <c r="V56" s="4">
        <f t="shared" si="17"/>
        <v>0.82499999999999996</v>
      </c>
      <c r="W56" s="126">
        <f t="shared" si="10"/>
        <v>-0.11763437402874977</v>
      </c>
    </row>
    <row r="57" spans="1:27" ht="27" hidden="1" customHeight="1" outlineLevel="1" x14ac:dyDescent="0.25">
      <c r="A57" s="484" t="s">
        <v>489</v>
      </c>
      <c r="B57" s="225" t="s">
        <v>209</v>
      </c>
      <c r="C57" s="215">
        <f>'1. Показатели'!R299</f>
        <v>6</v>
      </c>
      <c r="D57" s="215">
        <f>'1. Показатели'!S299</f>
        <v>0</v>
      </c>
      <c r="E57" s="215">
        <f>'1. Показатели'!T299</f>
        <v>0</v>
      </c>
      <c r="F57" s="215">
        <f>'1. Показатели'!U299</f>
        <v>4</v>
      </c>
      <c r="G57" s="215">
        <f>'1. Показатели'!V299</f>
        <v>0</v>
      </c>
      <c r="H57" s="215">
        <f>'1. Показатели'!W299</f>
        <v>2</v>
      </c>
      <c r="I57" s="21">
        <f>'1. Показатели'!H299</f>
        <v>0.69198823651003938</v>
      </c>
      <c r="J57" s="22">
        <f>'1. Показатели'!Z299</f>
        <v>1</v>
      </c>
      <c r="K57" s="22">
        <f>'1. Показатели'!AA299</f>
        <v>1</v>
      </c>
      <c r="L57" s="22">
        <f>'1. Показатели'!AB299</f>
        <v>0</v>
      </c>
      <c r="M57" s="21">
        <f>'1. Показатели'!I299</f>
        <v>1.0269836639439907</v>
      </c>
      <c r="N57" s="22">
        <f>'2.ПП'!G161</f>
        <v>7</v>
      </c>
      <c r="O57" s="22">
        <f>'2.ПП'!H161</f>
        <v>6</v>
      </c>
      <c r="P57" s="22">
        <f>'2.ПП'!I161</f>
        <v>0</v>
      </c>
      <c r="Q57" s="22">
        <f>'2.ПП'!J161</f>
        <v>1</v>
      </c>
      <c r="R57" s="21">
        <f t="shared" si="13"/>
        <v>0.8571428571428571</v>
      </c>
      <c r="S57" s="226">
        <f>I57*$I$8+(M57-3%)*$M$8+R57*$R$8</f>
        <v>0.85654075333340862</v>
      </c>
      <c r="T57" s="21" t="str">
        <f>IF(S57&gt;=97%,"Высокая",IF((S57&gt;=92%)*AND(S57&lt;97%),"Средняя",IF((S57&gt;=85%)*AND(S57&lt;92%),"Ниже среднего","Низкая")))</f>
        <v>Ниже среднего</v>
      </c>
      <c r="U57" s="20">
        <f t="shared" si="16"/>
        <v>0.85654075333340862</v>
      </c>
      <c r="V57" s="4">
        <f t="shared" si="17"/>
        <v>0.8571428571428571</v>
      </c>
      <c r="W57" s="127">
        <f t="shared" si="10"/>
        <v>-0.16515462063281772</v>
      </c>
    </row>
    <row r="58" spans="1:27" ht="24.75" hidden="1" customHeight="1" outlineLevel="1" x14ac:dyDescent="0.25">
      <c r="A58" s="484" t="s">
        <v>1035</v>
      </c>
      <c r="B58" s="225" t="s">
        <v>211</v>
      </c>
      <c r="C58" s="21" t="s">
        <v>41</v>
      </c>
      <c r="D58" s="21" t="s">
        <v>41</v>
      </c>
      <c r="E58" s="21" t="s">
        <v>41</v>
      </c>
      <c r="F58" s="21" t="s">
        <v>41</v>
      </c>
      <c r="G58" s="21" t="s">
        <v>41</v>
      </c>
      <c r="H58" s="21" t="s">
        <v>41</v>
      </c>
      <c r="I58" s="21" t="s">
        <v>41</v>
      </c>
      <c r="J58" s="21" t="s">
        <v>41</v>
      </c>
      <c r="K58" s="21" t="s">
        <v>41</v>
      </c>
      <c r="L58" s="21" t="s">
        <v>41</v>
      </c>
      <c r="M58" s="21" t="s">
        <v>41</v>
      </c>
      <c r="N58" s="22">
        <f>'2.ПП'!G164</f>
        <v>3</v>
      </c>
      <c r="O58" s="22">
        <f>'2.ПП'!H164</f>
        <v>3</v>
      </c>
      <c r="P58" s="22">
        <f>'2.ПП'!I164</f>
        <v>0</v>
      </c>
      <c r="Q58" s="22">
        <f>'2.ПП'!J164</f>
        <v>0</v>
      </c>
      <c r="R58" s="21">
        <f t="shared" si="13"/>
        <v>1</v>
      </c>
      <c r="S58" s="226" t="s">
        <v>41</v>
      </c>
      <c r="T58" s="439" t="s">
        <v>41</v>
      </c>
      <c r="U58" s="20" t="e">
        <f t="shared" si="16"/>
        <v>#VALUE!</v>
      </c>
      <c r="V58" s="4">
        <f t="shared" si="17"/>
        <v>1</v>
      </c>
      <c r="W58" s="126" t="e">
        <f t="shared" si="10"/>
        <v>#VALUE!</v>
      </c>
    </row>
    <row r="59" spans="1:27" hidden="1" outlineLevel="1" x14ac:dyDescent="0.25">
      <c r="A59" s="484" t="s">
        <v>1812</v>
      </c>
      <c r="B59" s="225" t="s">
        <v>213</v>
      </c>
      <c r="C59" s="215">
        <f>'1. Показатели'!R306</f>
        <v>9</v>
      </c>
      <c r="D59" s="215">
        <f>'1. Показатели'!S306</f>
        <v>0</v>
      </c>
      <c r="E59" s="215">
        <f>'1. Показатели'!T306</f>
        <v>0</v>
      </c>
      <c r="F59" s="215">
        <f>'1. Показатели'!U306</f>
        <v>5</v>
      </c>
      <c r="G59" s="215">
        <f>'1. Показатели'!V306</f>
        <v>1</v>
      </c>
      <c r="H59" s="215">
        <f>'1. Показатели'!W306</f>
        <v>3</v>
      </c>
      <c r="I59" s="21">
        <f>'1. Показатели'!H306</f>
        <v>0.65986394557823125</v>
      </c>
      <c r="J59" s="22">
        <f>'1. Показатели'!Z306</f>
        <v>1</v>
      </c>
      <c r="K59" s="22">
        <f>'1. Показатели'!AA306</f>
        <v>2</v>
      </c>
      <c r="L59" s="22">
        <f>'1. Показатели'!AB306</f>
        <v>1</v>
      </c>
      <c r="M59" s="21">
        <f>'1. Показатели'!I306</f>
        <v>0.92559523809523814</v>
      </c>
      <c r="N59" s="22">
        <f>'2.ПП'!G167</f>
        <v>5</v>
      </c>
      <c r="O59" s="22">
        <f>'2.ПП'!H167</f>
        <v>4</v>
      </c>
      <c r="P59" s="22">
        <f>'2.ПП'!I167</f>
        <v>1</v>
      </c>
      <c r="Q59" s="22">
        <f>'2.ПП'!J167</f>
        <v>0</v>
      </c>
      <c r="R59" s="21">
        <f t="shared" si="13"/>
        <v>0.9</v>
      </c>
      <c r="S59" s="226">
        <f t="shared" ref="S59:S66" si="18">I59*$I$8+(M59-3%)*$M$8+R59*$R$8</f>
        <v>0.82641751700680266</v>
      </c>
      <c r="T59" s="21" t="str">
        <f t="shared" ref="T59:T66" si="19">IF(S59&gt;=97%,"Высокая",IF((S59&gt;=92%)*AND(S59&lt;97%),"Средняя",IF((S59&gt;=85%)*AND(S59&lt;92%),"Ниже среднего","Низкая")))</f>
        <v>Низкая</v>
      </c>
      <c r="U59" s="20">
        <f t="shared" si="16"/>
        <v>0.82641751700680266</v>
      </c>
      <c r="V59" s="4">
        <f t="shared" si="17"/>
        <v>0.9</v>
      </c>
      <c r="W59" s="127">
        <f t="shared" si="10"/>
        <v>-0.24013605442176877</v>
      </c>
    </row>
    <row r="60" spans="1:27" ht="39" hidden="1" customHeight="1" outlineLevel="1" x14ac:dyDescent="0.25">
      <c r="A60" s="484" t="s">
        <v>1822</v>
      </c>
      <c r="B60" s="225" t="s">
        <v>214</v>
      </c>
      <c r="C60" s="215">
        <f>'1. Показатели'!R316</f>
        <v>3</v>
      </c>
      <c r="D60" s="215">
        <f>'1. Показатели'!S316</f>
        <v>0</v>
      </c>
      <c r="E60" s="215">
        <f>'1. Показатели'!T316</f>
        <v>0</v>
      </c>
      <c r="F60" s="215">
        <f>'1. Показатели'!U316</f>
        <v>3</v>
      </c>
      <c r="G60" s="215">
        <f>'1. Показатели'!V316</f>
        <v>0</v>
      </c>
      <c r="H60" s="215">
        <f>'1. Показатели'!W316</f>
        <v>0</v>
      </c>
      <c r="I60" s="21">
        <f>'1. Показатели'!H316</f>
        <v>1</v>
      </c>
      <c r="J60" s="22">
        <f>'1. Показатели'!Z316</f>
        <v>0</v>
      </c>
      <c r="K60" s="22">
        <f>'1. Показатели'!AA316</f>
        <v>1</v>
      </c>
      <c r="L60" s="22">
        <f>'1. Показатели'!AB316</f>
        <v>1</v>
      </c>
      <c r="M60" s="21">
        <f>'1. Показатели'!I316</f>
        <v>0.99440693338708053</v>
      </c>
      <c r="N60" s="22">
        <f>'2.ПП'!G172</f>
        <v>8</v>
      </c>
      <c r="O60" s="22">
        <f>'2.ПП'!H172</f>
        <v>6</v>
      </c>
      <c r="P60" s="22">
        <f>'2.ПП'!I172</f>
        <v>1</v>
      </c>
      <c r="Q60" s="22">
        <f>'2.ПП'!J172</f>
        <v>1</v>
      </c>
      <c r="R60" s="21">
        <f t="shared" si="13"/>
        <v>0.8125</v>
      </c>
      <c r="S60" s="226">
        <f t="shared" si="18"/>
        <v>0.92191742668547816</v>
      </c>
      <c r="T60" s="21" t="str">
        <f t="shared" si="19"/>
        <v>Средняя</v>
      </c>
      <c r="U60" s="20">
        <f t="shared" si="16"/>
        <v>0.92191742668547816</v>
      </c>
      <c r="V60" s="4">
        <f t="shared" si="17"/>
        <v>0.8125</v>
      </c>
      <c r="W60" s="127">
        <f t="shared" si="10"/>
        <v>0.1875</v>
      </c>
    </row>
    <row r="61" spans="1:27" ht="34.5" customHeight="1" collapsed="1" x14ac:dyDescent="0.25">
      <c r="A61" s="17" t="s">
        <v>270</v>
      </c>
      <c r="B61" s="197" t="s">
        <v>1095</v>
      </c>
      <c r="C61" s="115">
        <f>'1. Показатели'!R320</f>
        <v>27</v>
      </c>
      <c r="D61" s="115">
        <f>'1. Показатели'!S320</f>
        <v>2</v>
      </c>
      <c r="E61" s="115">
        <f>'1. Показатели'!T320</f>
        <v>7</v>
      </c>
      <c r="F61" s="115">
        <f>'1. Показатели'!U320</f>
        <v>10</v>
      </c>
      <c r="G61" s="115">
        <f>'1. Показатели'!V320</f>
        <v>2</v>
      </c>
      <c r="H61" s="115">
        <f>'1. Показатели'!W320</f>
        <v>6</v>
      </c>
      <c r="I61" s="19">
        <f>'1. Показатели'!H320</f>
        <v>0.85060932970363479</v>
      </c>
      <c r="J61" s="116">
        <f>'1. Показатели'!Z320</f>
        <v>6</v>
      </c>
      <c r="K61" s="116">
        <f>'1. Показатели'!AA320</f>
        <v>2</v>
      </c>
      <c r="L61" s="116">
        <f>'1. Показатели'!AB320</f>
        <v>6</v>
      </c>
      <c r="M61" s="19">
        <f>'1. Показатели'!I320</f>
        <v>0.87052523939912618</v>
      </c>
      <c r="N61" s="429">
        <f>'2.ПП'!G175</f>
        <v>38</v>
      </c>
      <c r="O61" s="429">
        <f>'2.ПП'!H175</f>
        <v>29</v>
      </c>
      <c r="P61" s="429">
        <f>'2.ПП'!I175</f>
        <v>8</v>
      </c>
      <c r="Q61" s="429">
        <f>'2.ПП'!J175</f>
        <v>1</v>
      </c>
      <c r="R61" s="19">
        <f t="shared" si="13"/>
        <v>0.86842105263157898</v>
      </c>
      <c r="S61" s="19">
        <f t="shared" si="18"/>
        <v>0.8533140011218372</v>
      </c>
      <c r="T61" s="458" t="str">
        <f t="shared" si="19"/>
        <v>Ниже среднего</v>
      </c>
      <c r="U61" s="20">
        <f t="shared" si="16"/>
        <v>0.8533140011218372</v>
      </c>
      <c r="V61" s="4">
        <f t="shared" si="17"/>
        <v>0.86842105263157898</v>
      </c>
      <c r="W61" s="126">
        <f t="shared" si="10"/>
        <v>-1.7811722927944196E-2</v>
      </c>
    </row>
    <row r="62" spans="1:27" ht="27" hidden="1" customHeight="1" outlineLevel="1" x14ac:dyDescent="0.25">
      <c r="A62" s="143" t="s">
        <v>150</v>
      </c>
      <c r="B62" s="225" t="s">
        <v>1036</v>
      </c>
      <c r="C62" s="215">
        <f>'1. Показатели'!R324</f>
        <v>5</v>
      </c>
      <c r="D62" s="215">
        <f>'1. Показатели'!S324</f>
        <v>1</v>
      </c>
      <c r="E62" s="215">
        <f>'1. Показатели'!T324</f>
        <v>1</v>
      </c>
      <c r="F62" s="215">
        <f>'1. Показатели'!U324</f>
        <v>3</v>
      </c>
      <c r="G62" s="215">
        <f>'1. Показатели'!V324</f>
        <v>0</v>
      </c>
      <c r="H62" s="215">
        <f>'1. Показатели'!W324</f>
        <v>0</v>
      </c>
      <c r="I62" s="21">
        <f>'1. Показатели'!H324</f>
        <v>1</v>
      </c>
      <c r="J62" s="22">
        <f>'1. Показатели'!Z324</f>
        <v>2</v>
      </c>
      <c r="K62" s="22">
        <f>'1. Показатели'!AA324</f>
        <v>0</v>
      </c>
      <c r="L62" s="22">
        <f>'1. Показатели'!AB324</f>
        <v>1</v>
      </c>
      <c r="M62" s="21">
        <f>'1. Показатели'!I324</f>
        <v>1.0963855421686748</v>
      </c>
      <c r="N62" s="22">
        <f>'2.ПП'!G180</f>
        <v>17</v>
      </c>
      <c r="O62" s="22">
        <f>'2.ПП'!H180</f>
        <v>13</v>
      </c>
      <c r="P62" s="22">
        <f>'2.ПП'!I180</f>
        <v>4</v>
      </c>
      <c r="Q62" s="22">
        <f>'2.ПП'!J180</f>
        <v>0</v>
      </c>
      <c r="R62" s="21">
        <f t="shared" si="13"/>
        <v>0.88235294117647056</v>
      </c>
      <c r="S62" s="226">
        <f t="shared" si="18"/>
        <v>0.98205846917080075</v>
      </c>
      <c r="T62" s="21" t="str">
        <f t="shared" si="19"/>
        <v>Высокая</v>
      </c>
      <c r="U62" s="20">
        <f t="shared" si="16"/>
        <v>0.98205846917080075</v>
      </c>
      <c r="V62" s="4">
        <f t="shared" si="17"/>
        <v>0.88235294117647056</v>
      </c>
      <c r="W62" s="127">
        <f t="shared" si="10"/>
        <v>0.11764705882352944</v>
      </c>
    </row>
    <row r="63" spans="1:27" ht="36.75" hidden="1" customHeight="1" outlineLevel="1" x14ac:dyDescent="0.25">
      <c r="A63" s="143" t="s">
        <v>151</v>
      </c>
      <c r="B63" s="225" t="s">
        <v>1015</v>
      </c>
      <c r="C63" s="215">
        <f>'1. Показатели'!R330</f>
        <v>9</v>
      </c>
      <c r="D63" s="215">
        <f>'1. Показатели'!S330</f>
        <v>0</v>
      </c>
      <c r="E63" s="215">
        <f>'1. Показатели'!T330</f>
        <v>4</v>
      </c>
      <c r="F63" s="215">
        <f>'1. Показатели'!U330</f>
        <v>3</v>
      </c>
      <c r="G63" s="215">
        <f>'1. Показатели'!V330</f>
        <v>0</v>
      </c>
      <c r="H63" s="215">
        <f>'1. Показатели'!W330</f>
        <v>2</v>
      </c>
      <c r="I63" s="21">
        <f>'1. Показатели'!H330</f>
        <v>0.95057865519136364</v>
      </c>
      <c r="J63" s="22">
        <f>'1. Показатели'!Z330</f>
        <v>1</v>
      </c>
      <c r="K63" s="22">
        <f>'1. Показатели'!AA330</f>
        <v>0</v>
      </c>
      <c r="L63" s="22">
        <f>'1. Показатели'!AB330</f>
        <v>2</v>
      </c>
      <c r="M63" s="21">
        <f>'1. Показатели'!I330</f>
        <v>1.0026943565158837</v>
      </c>
      <c r="N63" s="22">
        <f>'2.ПП'!G184</f>
        <v>7</v>
      </c>
      <c r="O63" s="22">
        <f>'2.ПП'!H184</f>
        <v>7</v>
      </c>
      <c r="P63" s="22">
        <f>'2.ПП'!I184</f>
        <v>0</v>
      </c>
      <c r="Q63" s="22">
        <f>'2.ПП'!J184</f>
        <v>0</v>
      </c>
      <c r="R63" s="21">
        <f t="shared" si="13"/>
        <v>1</v>
      </c>
      <c r="S63" s="226">
        <f t="shared" si="18"/>
        <v>0.97561662133796834</v>
      </c>
      <c r="T63" s="21" t="str">
        <f t="shared" si="19"/>
        <v>Высокая</v>
      </c>
      <c r="U63" s="20">
        <f t="shared" si="16"/>
        <v>0.97561662133796834</v>
      </c>
      <c r="V63" s="4">
        <f t="shared" si="17"/>
        <v>1</v>
      </c>
      <c r="W63" s="126">
        <f t="shared" si="10"/>
        <v>-4.9421344808636358E-2</v>
      </c>
    </row>
    <row r="64" spans="1:27" ht="34.5" hidden="1" customHeight="1" outlineLevel="1" x14ac:dyDescent="0.25">
      <c r="A64" s="484" t="s">
        <v>152</v>
      </c>
      <c r="B64" s="225" t="s">
        <v>1016</v>
      </c>
      <c r="C64" s="215">
        <f>'1. Показатели'!R340</f>
        <v>8</v>
      </c>
      <c r="D64" s="215">
        <f>'1. Показатели'!S340</f>
        <v>0</v>
      </c>
      <c r="E64" s="215">
        <f>'1. Показатели'!T340</f>
        <v>2</v>
      </c>
      <c r="F64" s="215">
        <f>'1. Показатели'!U340</f>
        <v>2</v>
      </c>
      <c r="G64" s="215">
        <f>'1. Показатели'!V340</f>
        <v>1</v>
      </c>
      <c r="H64" s="215">
        <f>'1. Показатели'!W340</f>
        <v>3</v>
      </c>
      <c r="I64" s="21">
        <f>'1. Показатели'!H340</f>
        <v>0.72242896732033268</v>
      </c>
      <c r="J64" s="22">
        <f>'1. Показатели'!Z340</f>
        <v>2</v>
      </c>
      <c r="K64" s="22">
        <f>'1. Показатели'!AA340</f>
        <v>1</v>
      </c>
      <c r="L64" s="22">
        <f>'1. Показатели'!AB340</f>
        <v>3</v>
      </c>
      <c r="M64" s="21">
        <f>'1. Показатели'!I340</f>
        <v>0.70709823085488066</v>
      </c>
      <c r="N64" s="22">
        <f>'2.ПП'!G188</f>
        <v>10</v>
      </c>
      <c r="O64" s="22">
        <f>'2.ПП'!H188</f>
        <v>6</v>
      </c>
      <c r="P64" s="22">
        <f>'2.ПП'!I188</f>
        <v>3</v>
      </c>
      <c r="Q64" s="22">
        <f>'2.ПП'!J188</f>
        <v>1</v>
      </c>
      <c r="R64" s="21">
        <f t="shared" si="13"/>
        <v>0.75</v>
      </c>
      <c r="S64" s="226">
        <f t="shared" si="18"/>
        <v>0.71621307099530795</v>
      </c>
      <c r="T64" s="21" t="str">
        <f t="shared" si="19"/>
        <v>Низкая</v>
      </c>
      <c r="U64" s="20">
        <f t="shared" si="16"/>
        <v>0.71621307099530795</v>
      </c>
      <c r="V64" s="4">
        <f t="shared" si="17"/>
        <v>0.75</v>
      </c>
      <c r="W64" s="126">
        <f t="shared" si="10"/>
        <v>-2.7571032679667318E-2</v>
      </c>
    </row>
    <row r="65" spans="1:23" ht="41.25" hidden="1" customHeight="1" outlineLevel="1" x14ac:dyDescent="0.25">
      <c r="A65" s="484" t="s">
        <v>271</v>
      </c>
      <c r="B65" s="225" t="s">
        <v>1017</v>
      </c>
      <c r="C65" s="215" t="s">
        <v>41</v>
      </c>
      <c r="D65" s="215" t="s">
        <v>41</v>
      </c>
      <c r="E65" s="215" t="s">
        <v>41</v>
      </c>
      <c r="F65" s="215" t="s">
        <v>41</v>
      </c>
      <c r="G65" s="215" t="s">
        <v>41</v>
      </c>
      <c r="H65" s="215" t="s">
        <v>41</v>
      </c>
      <c r="I65" s="21" t="s">
        <v>41</v>
      </c>
      <c r="J65" s="22" t="s">
        <v>41</v>
      </c>
      <c r="K65" s="22" t="s">
        <v>41</v>
      </c>
      <c r="L65" s="22" t="s">
        <v>41</v>
      </c>
      <c r="M65" s="21" t="s">
        <v>41</v>
      </c>
      <c r="N65" s="22">
        <f>'2.ПП'!G191</f>
        <v>1</v>
      </c>
      <c r="O65" s="22">
        <f>'2.ПП'!H191</f>
        <v>1</v>
      </c>
      <c r="P65" s="22">
        <f>'2.ПП'!I191</f>
        <v>0</v>
      </c>
      <c r="Q65" s="22">
        <f>'2.ПП'!J191</f>
        <v>0</v>
      </c>
      <c r="R65" s="21">
        <f t="shared" si="13"/>
        <v>1</v>
      </c>
      <c r="S65" s="226" t="s">
        <v>41</v>
      </c>
      <c r="T65" s="21" t="s">
        <v>41</v>
      </c>
      <c r="U65" s="20" t="e">
        <f t="shared" si="16"/>
        <v>#VALUE!</v>
      </c>
      <c r="V65" s="4">
        <f t="shared" si="17"/>
        <v>1</v>
      </c>
      <c r="W65" s="126" t="e">
        <f t="shared" si="10"/>
        <v>#VALUE!</v>
      </c>
    </row>
    <row r="66" spans="1:23" ht="20.25" hidden="1" customHeight="1" outlineLevel="1" x14ac:dyDescent="0.25">
      <c r="A66" s="484" t="s">
        <v>153</v>
      </c>
      <c r="B66" s="225" t="s">
        <v>1609</v>
      </c>
      <c r="C66" s="231">
        <f>'1. Показатели'!R349</f>
        <v>2</v>
      </c>
      <c r="D66" s="231">
        <f>'1. Показатели'!S349</f>
        <v>0</v>
      </c>
      <c r="E66" s="231">
        <f>'1. Показатели'!T349</f>
        <v>0</v>
      </c>
      <c r="F66" s="231">
        <f>'1. Показатели'!U349</f>
        <v>1</v>
      </c>
      <c r="G66" s="231">
        <f>'1. Показатели'!V349</f>
        <v>0</v>
      </c>
      <c r="H66" s="231">
        <f>'1. Показатели'!W349</f>
        <v>1</v>
      </c>
      <c r="I66" s="21">
        <f>'1. Показатели'!H349</f>
        <v>0.5</v>
      </c>
      <c r="J66" s="231">
        <f>'1. Показатели'!Z349</f>
        <v>0</v>
      </c>
      <c r="K66" s="231">
        <f>'1. Показатели'!AA349</f>
        <v>0</v>
      </c>
      <c r="L66" s="231">
        <f>'1. Показатели'!AB349</f>
        <v>0</v>
      </c>
      <c r="M66" s="21">
        <f>'1. Показатели'!I349</f>
        <v>1</v>
      </c>
      <c r="N66" s="22">
        <f>'2.ПП'!G193</f>
        <v>3</v>
      </c>
      <c r="O66" s="22">
        <f>'2.ПП'!H193</f>
        <v>2</v>
      </c>
      <c r="P66" s="22">
        <f>'2.ПП'!I193</f>
        <v>1</v>
      </c>
      <c r="Q66" s="22">
        <f>'2.ПП'!J193</f>
        <v>0</v>
      </c>
      <c r="R66" s="21">
        <f t="shared" si="13"/>
        <v>0.83333333333333337</v>
      </c>
      <c r="S66" s="226">
        <f t="shared" si="18"/>
        <v>0.78116666666666656</v>
      </c>
      <c r="T66" s="21" t="str">
        <f t="shared" si="19"/>
        <v>Низкая</v>
      </c>
      <c r="U66" s="20">
        <f t="shared" si="16"/>
        <v>0.78116666666666656</v>
      </c>
      <c r="V66" s="4">
        <f t="shared" si="17"/>
        <v>0.83333333333333337</v>
      </c>
      <c r="W66" s="126">
        <f t="shared" si="10"/>
        <v>-0.33333333333333337</v>
      </c>
    </row>
    <row r="67" spans="1:23" ht="26.25" customHeight="1" collapsed="1" x14ac:dyDescent="0.25">
      <c r="A67" s="17" t="s">
        <v>156</v>
      </c>
      <c r="B67" s="197" t="s">
        <v>1602</v>
      </c>
      <c r="C67" s="428">
        <f>'1. Показатели'!R352</f>
        <v>25</v>
      </c>
      <c r="D67" s="428">
        <f>'1. Показатели'!S352</f>
        <v>0</v>
      </c>
      <c r="E67" s="428">
        <f>'1. Показатели'!T352</f>
        <v>6</v>
      </c>
      <c r="F67" s="428">
        <f>'1. Показатели'!U352</f>
        <v>15</v>
      </c>
      <c r="G67" s="428">
        <f>'1. Показатели'!V352</f>
        <v>1</v>
      </c>
      <c r="H67" s="428">
        <f>'1. Показатели'!W352</f>
        <v>3</v>
      </c>
      <c r="I67" s="18">
        <f>'1. Показатели'!H352</f>
        <v>0.97312758223436191</v>
      </c>
      <c r="J67" s="429">
        <f>'1. Показатели'!Z352</f>
        <v>5</v>
      </c>
      <c r="K67" s="429">
        <f>'1. Показатели'!AA352</f>
        <v>3</v>
      </c>
      <c r="L67" s="429">
        <f>'1. Показатели'!AB352</f>
        <v>4</v>
      </c>
      <c r="M67" s="18">
        <f>'1. Показатели'!I352</f>
        <v>1.026490227941574</v>
      </c>
      <c r="N67" s="451">
        <f>'2.ПП'!G198</f>
        <v>72</v>
      </c>
      <c r="O67" s="451">
        <f>'2.ПП'!H198</f>
        <v>54</v>
      </c>
      <c r="P67" s="451">
        <f>'2.ПП'!I198</f>
        <v>13</v>
      </c>
      <c r="Q67" s="451">
        <f>'2.ПП'!J198</f>
        <v>5</v>
      </c>
      <c r="R67" s="444">
        <f t="shared" si="13"/>
        <v>0.84027777777777779</v>
      </c>
      <c r="S67" s="30">
        <f>I67*$I$8+(M67-3%)*$M$8+R67*$R$8</f>
        <v>0.93480707667208174</v>
      </c>
      <c r="T67" s="125" t="str">
        <f>IF(S67&gt;=97%,"Высокая",IF((S67&gt;=92%)*AND(S67&lt;97%),"Средняя",IF((S67&gt;=85%)*AND(S67&lt;92%),"Ниже среднего","Низкая")))</f>
        <v>Средняя</v>
      </c>
      <c r="U67" s="20">
        <f t="shared" si="16"/>
        <v>0.93480707667208174</v>
      </c>
      <c r="V67" s="4">
        <f t="shared" si="17"/>
        <v>0.84027777777777779</v>
      </c>
      <c r="W67" s="127">
        <f t="shared" si="10"/>
        <v>0.13284980445658412</v>
      </c>
    </row>
    <row r="68" spans="1:23" ht="27.75" hidden="1" customHeight="1" outlineLevel="1" x14ac:dyDescent="0.25">
      <c r="A68" s="143" t="s">
        <v>158</v>
      </c>
      <c r="B68" s="225" t="s">
        <v>1019</v>
      </c>
      <c r="C68" s="215">
        <f>'1. Показатели'!R356</f>
        <v>9</v>
      </c>
      <c r="D68" s="215">
        <f>'1. Показатели'!S356</f>
        <v>0</v>
      </c>
      <c r="E68" s="215">
        <f>'1. Показатели'!T356</f>
        <v>3</v>
      </c>
      <c r="F68" s="215">
        <f>'1. Показатели'!U356</f>
        <v>5</v>
      </c>
      <c r="G68" s="215">
        <f>'1. Показатели'!V356</f>
        <v>0</v>
      </c>
      <c r="H68" s="215">
        <f>'1. Показатели'!W356</f>
        <v>1</v>
      </c>
      <c r="I68" s="21">
        <f>'1. Показатели'!H356</f>
        <v>0.9801169590643275</v>
      </c>
      <c r="J68" s="22">
        <f>'1. Показатели'!Z356</f>
        <v>3</v>
      </c>
      <c r="K68" s="22">
        <f>'1. Показатели'!AA356</f>
        <v>1</v>
      </c>
      <c r="L68" s="22">
        <f>'1. Показатели'!AB356</f>
        <v>1</v>
      </c>
      <c r="M68" s="21">
        <f>'1. Показатели'!I356</f>
        <v>1.1080225742909708</v>
      </c>
      <c r="N68" s="22">
        <f>'2.ПП'!G202</f>
        <v>46</v>
      </c>
      <c r="O68" s="22">
        <f>'2.ПП'!H202</f>
        <v>32</v>
      </c>
      <c r="P68" s="22">
        <f>'2.ПП'!I202</f>
        <v>9</v>
      </c>
      <c r="Q68" s="22">
        <f>'2.ПП'!J202</f>
        <v>5</v>
      </c>
      <c r="R68" s="21">
        <f t="shared" si="13"/>
        <v>0.79347826086956519</v>
      </c>
      <c r="S68" s="226">
        <f>I68*$I$8+(M68-3%)*$M$8+R68*$R$8</f>
        <v>0.94906038002548576</v>
      </c>
      <c r="T68" s="22" t="str">
        <f>IF(S68&gt;=97%,"Высокая",IF((S68&gt;=92%)*AND(S68&lt;97%),"Средняя",IF((S68&gt;=85%)*AND(S68&lt;92%),"Ниже среднего","Низкая")))</f>
        <v>Средняя</v>
      </c>
      <c r="U68" s="20">
        <f t="shared" si="16"/>
        <v>0.94906038002548576</v>
      </c>
      <c r="V68" s="4">
        <f t="shared" si="17"/>
        <v>0.79347826086956519</v>
      </c>
      <c r="W68" s="127">
        <f t="shared" si="10"/>
        <v>0.18663869819476231</v>
      </c>
    </row>
    <row r="69" spans="1:23" ht="36.75" hidden="1" customHeight="1" outlineLevel="1" x14ac:dyDescent="0.25">
      <c r="A69" s="143" t="s">
        <v>159</v>
      </c>
      <c r="B69" s="225" t="s">
        <v>1020</v>
      </c>
      <c r="C69" s="215">
        <f>'1. Показатели'!R366</f>
        <v>7</v>
      </c>
      <c r="D69" s="215">
        <f>'1. Показатели'!S366</f>
        <v>0</v>
      </c>
      <c r="E69" s="215">
        <f>'1. Показатели'!T366</f>
        <v>1</v>
      </c>
      <c r="F69" s="215">
        <f>'1. Показатели'!U366</f>
        <v>5</v>
      </c>
      <c r="G69" s="215">
        <f>'1. Показатели'!V366</f>
        <v>1</v>
      </c>
      <c r="H69" s="215">
        <f>'1. Показатели'!W366</f>
        <v>0</v>
      </c>
      <c r="I69" s="21">
        <f>'1. Показатели'!H366</f>
        <v>0.9983948635634029</v>
      </c>
      <c r="J69" s="22">
        <f>'1. Показатели'!Z366</f>
        <v>0</v>
      </c>
      <c r="K69" s="22">
        <f>'1. Показатели'!AA366</f>
        <v>0</v>
      </c>
      <c r="L69" s="22">
        <f>'1. Показатели'!AB366</f>
        <v>0</v>
      </c>
      <c r="M69" s="21">
        <v>1</v>
      </c>
      <c r="N69" s="22">
        <f>'2.ПП'!G206</f>
        <v>12</v>
      </c>
      <c r="O69" s="22">
        <f>'2.ПП'!H206</f>
        <v>11</v>
      </c>
      <c r="P69" s="22">
        <f>'2.ПП'!I206</f>
        <v>1</v>
      </c>
      <c r="Q69" s="22">
        <f>'2.ПП'!J206</f>
        <v>0</v>
      </c>
      <c r="R69" s="21">
        <f t="shared" si="13"/>
        <v>0.95833333333333337</v>
      </c>
      <c r="S69" s="226">
        <f>I69*$I$8+(M69-3%)*$M$8+R69*$R$8</f>
        <v>0.97443512573568758</v>
      </c>
      <c r="T69" s="22" t="str">
        <f>IF(S69&gt;=97%,"Высокая",IF((S69&gt;=92%)*AND(S69&lt;97%),"Средняя",IF((S69&gt;=85%)*AND(S69&lt;92%),"Ниже среднего","Низкая")))</f>
        <v>Высокая</v>
      </c>
      <c r="U69" s="20">
        <f t="shared" si="16"/>
        <v>0.97443512573568758</v>
      </c>
      <c r="V69" s="4">
        <f t="shared" si="17"/>
        <v>0.95833333333333337</v>
      </c>
      <c r="W69" s="127">
        <f t="shared" si="10"/>
        <v>4.0061530230069531E-2</v>
      </c>
    </row>
    <row r="70" spans="1:23" ht="36.75" hidden="1" customHeight="1" outlineLevel="1" x14ac:dyDescent="0.25">
      <c r="A70" s="143" t="s">
        <v>160</v>
      </c>
      <c r="B70" s="225" t="s">
        <v>223</v>
      </c>
      <c r="C70" s="215">
        <f>'1. Показатели'!R374</f>
        <v>6</v>
      </c>
      <c r="D70" s="215">
        <f>'1. Показатели'!S374</f>
        <v>0</v>
      </c>
      <c r="E70" s="215">
        <f>'1. Показатели'!T374</f>
        <v>2</v>
      </c>
      <c r="F70" s="215">
        <f>'1. Показатели'!U374</f>
        <v>2</v>
      </c>
      <c r="G70" s="215">
        <f>'1. Показатели'!V374</f>
        <v>0</v>
      </c>
      <c r="H70" s="215">
        <f>'1. Показатели'!W374</f>
        <v>2</v>
      </c>
      <c r="I70" s="21">
        <f>'1. Показатели'!H374</f>
        <v>0.91972881322271371</v>
      </c>
      <c r="J70" s="22">
        <f>'1. Показатели'!Z374</f>
        <v>0</v>
      </c>
      <c r="K70" s="22">
        <f>'1. Показатели'!AA374</f>
        <v>2</v>
      </c>
      <c r="L70" s="22">
        <f>'1. Показатели'!AB374</f>
        <v>3</v>
      </c>
      <c r="M70" s="21">
        <f>'1. Показатели'!I374</f>
        <v>0.93197575252932019</v>
      </c>
      <c r="N70" s="22">
        <f>'2.ПП'!G209</f>
        <v>10</v>
      </c>
      <c r="O70" s="22">
        <f>'2.ПП'!H209</f>
        <v>8</v>
      </c>
      <c r="P70" s="22">
        <f>'2.ПП'!I209</f>
        <v>2</v>
      </c>
      <c r="Q70" s="22">
        <f>'2.ПП'!J209</f>
        <v>0</v>
      </c>
      <c r="R70" s="21">
        <f t="shared" si="13"/>
        <v>0.9</v>
      </c>
      <c r="S70" s="226">
        <f>I70*$I$8+(M70-3%)*$M$8+R70*$R$8</f>
        <v>0.90661015735207617</v>
      </c>
      <c r="T70" s="22" t="str">
        <f>IF(S70&gt;=97%,"Высокая",IF((S70&gt;=92%)*AND(S70&lt;97%),"Средняя",IF((S70&gt;=85%)*AND(S70&lt;92%),"Ниже среднего","Низкая")))</f>
        <v>Ниже среднего</v>
      </c>
      <c r="U70" s="20">
        <f t="shared" si="16"/>
        <v>0.90661015735207617</v>
      </c>
      <c r="V70" s="4">
        <f t="shared" si="17"/>
        <v>0.9</v>
      </c>
      <c r="W70" s="127">
        <f t="shared" si="10"/>
        <v>1.9728813222713693E-2</v>
      </c>
    </row>
    <row r="71" spans="1:23" ht="28.5" hidden="1" customHeight="1" outlineLevel="1" x14ac:dyDescent="0.25">
      <c r="A71" s="143" t="s">
        <v>161</v>
      </c>
      <c r="B71" s="225" t="s">
        <v>191</v>
      </c>
      <c r="C71" s="21" t="s">
        <v>41</v>
      </c>
      <c r="D71" s="21" t="s">
        <v>41</v>
      </c>
      <c r="E71" s="21" t="s">
        <v>41</v>
      </c>
      <c r="F71" s="21" t="s">
        <v>41</v>
      </c>
      <c r="G71" s="21" t="s">
        <v>41</v>
      </c>
      <c r="H71" s="21" t="s">
        <v>41</v>
      </c>
      <c r="I71" s="21" t="s">
        <v>41</v>
      </c>
      <c r="J71" s="21" t="s">
        <v>41</v>
      </c>
      <c r="K71" s="21" t="s">
        <v>41</v>
      </c>
      <c r="L71" s="21" t="s">
        <v>41</v>
      </c>
      <c r="M71" s="21" t="s">
        <v>41</v>
      </c>
      <c r="N71" s="22">
        <f>'2.ПП'!G210</f>
        <v>4</v>
      </c>
      <c r="O71" s="22">
        <f>'2.ПП'!H210</f>
        <v>3</v>
      </c>
      <c r="P71" s="22">
        <f>'2.ПП'!I210</f>
        <v>1</v>
      </c>
      <c r="Q71" s="22">
        <f>'2.ПП'!J210</f>
        <v>0</v>
      </c>
      <c r="R71" s="21">
        <f t="shared" si="13"/>
        <v>0.875</v>
      </c>
      <c r="S71" s="23" t="s">
        <v>41</v>
      </c>
      <c r="T71" s="439" t="s">
        <v>41</v>
      </c>
      <c r="U71" s="20" t="e">
        <f t="shared" si="16"/>
        <v>#VALUE!</v>
      </c>
      <c r="V71" s="4">
        <f t="shared" si="17"/>
        <v>0.875</v>
      </c>
      <c r="W71" s="126" t="e">
        <f t="shared" si="10"/>
        <v>#VALUE!</v>
      </c>
    </row>
    <row r="72" spans="1:23" ht="27.75" customHeight="1" collapsed="1" x14ac:dyDescent="0.25">
      <c r="A72" s="17" t="s">
        <v>162</v>
      </c>
      <c r="B72" s="197" t="s">
        <v>1070</v>
      </c>
      <c r="C72" s="428">
        <f>'1. Показатели'!R381</f>
        <v>23</v>
      </c>
      <c r="D72" s="428">
        <f>'1. Показатели'!S381</f>
        <v>8</v>
      </c>
      <c r="E72" s="428">
        <f>'1. Показатели'!T381</f>
        <v>1</v>
      </c>
      <c r="F72" s="428">
        <f>'1. Показатели'!U381</f>
        <v>12</v>
      </c>
      <c r="G72" s="428">
        <f>'1. Показатели'!V381</f>
        <v>0</v>
      </c>
      <c r="H72" s="428">
        <f>'1. Показатели'!W381</f>
        <v>2</v>
      </c>
      <c r="I72" s="431">
        <f>'1. Показатели'!H381</f>
        <v>0.8666666666666667</v>
      </c>
      <c r="J72" s="429">
        <f>'1. Показатели'!Z381</f>
        <v>1</v>
      </c>
      <c r="K72" s="429">
        <f>'1. Показатели'!AA381</f>
        <v>0</v>
      </c>
      <c r="L72" s="429">
        <f>'1. Показатели'!AB381</f>
        <v>0</v>
      </c>
      <c r="M72" s="432">
        <f>'1. Показатели'!I381</f>
        <v>1.1198316022010395</v>
      </c>
      <c r="N72" s="429">
        <f>'2.ПП'!G211</f>
        <v>49</v>
      </c>
      <c r="O72" s="429">
        <f>'2.ПП'!H211</f>
        <v>43</v>
      </c>
      <c r="P72" s="429">
        <f>'2.ПП'!I211</f>
        <v>4</v>
      </c>
      <c r="Q72" s="429">
        <f>'2.ПП'!J211</f>
        <v>2</v>
      </c>
      <c r="R72" s="431">
        <f t="shared" ref="R72:R85" si="20">(O72+0.5*P72)/N72</f>
        <v>0.91836734693877553</v>
      </c>
      <c r="S72" s="433">
        <f>I72*$I$8+(M72-3%)*$M$8+R72*$R$8</f>
        <v>0.96286963219893518</v>
      </c>
      <c r="T72" s="430" t="str">
        <f>IF(S72&gt;=97%,"Высокая",IF((S72&gt;=92%)*AND(S72&lt;97%),"Средняя",IF((S72&gt;=85%)*AND(S72&lt;92%),"Ниже среднего","Низкая")))</f>
        <v>Средняя</v>
      </c>
      <c r="U72" s="20">
        <f t="shared" ref="U72:U86" si="21">I72*0.3+(M72-3%)*0.35+R72*0.35</f>
        <v>0.96286963219893518</v>
      </c>
      <c r="V72" s="4">
        <f t="shared" ref="V72:V86" si="22">(O72+0.5*P72)/N72</f>
        <v>0.91836734693877553</v>
      </c>
      <c r="W72" s="126">
        <f t="shared" ref="W72:W86" si="23">I72-R72</f>
        <v>-5.1700680272108834E-2</v>
      </c>
    </row>
    <row r="73" spans="1:23" ht="25.5" hidden="1" customHeight="1" outlineLevel="1" x14ac:dyDescent="0.25">
      <c r="A73" s="143" t="s">
        <v>163</v>
      </c>
      <c r="B73" s="224" t="s">
        <v>1022</v>
      </c>
      <c r="C73" s="112">
        <f>'1. Показатели'!R386</f>
        <v>9</v>
      </c>
      <c r="D73" s="112">
        <f>'1. Показатели'!S386</f>
        <v>1</v>
      </c>
      <c r="E73" s="112">
        <f>'1. Показатели'!T386</f>
        <v>0</v>
      </c>
      <c r="F73" s="112">
        <f>'1. Показатели'!U386</f>
        <v>8</v>
      </c>
      <c r="G73" s="112">
        <f>'1. Показатели'!V386</f>
        <v>0</v>
      </c>
      <c r="H73" s="112">
        <f>'1. Показатели'!W386</f>
        <v>0</v>
      </c>
      <c r="I73" s="113">
        <f>'1. Показатели'!H386</f>
        <v>1</v>
      </c>
      <c r="J73" s="114">
        <f>'1. Показатели'!Z386</f>
        <v>0</v>
      </c>
      <c r="K73" s="114">
        <f>'1. Показатели'!AA386</f>
        <v>0</v>
      </c>
      <c r="L73" s="114">
        <f>'1. Показатели'!AB386</f>
        <v>0</v>
      </c>
      <c r="M73" s="113">
        <f>'1. Показатели'!I386</f>
        <v>1</v>
      </c>
      <c r="N73" s="22">
        <f>'2.ПП'!G216</f>
        <v>9</v>
      </c>
      <c r="O73" s="22">
        <f>'2.ПП'!H216</f>
        <v>6</v>
      </c>
      <c r="P73" s="22">
        <f>'2.ПП'!I216</f>
        <v>1</v>
      </c>
      <c r="Q73" s="22">
        <f>'2.ПП'!J216</f>
        <v>2</v>
      </c>
      <c r="R73" s="21">
        <f t="shared" si="20"/>
        <v>0.72222222222222221</v>
      </c>
      <c r="S73" s="226">
        <f>I73*$I$8+(M73-3%)*$M$8+R73*$R$8</f>
        <v>0.89227777777777773</v>
      </c>
      <c r="T73" s="21" t="str">
        <f>IF(S73&gt;=97%,"Высокая",IF((S73&gt;=92%)*AND(S73&lt;97%),"Средняя",IF((S73&gt;=85%)*AND(S73&lt;92%),"Ниже среднего","Низкая")))</f>
        <v>Ниже среднего</v>
      </c>
      <c r="U73" s="20">
        <f t="shared" si="21"/>
        <v>0.89227777777777773</v>
      </c>
      <c r="V73" s="4">
        <f t="shared" si="22"/>
        <v>0.72222222222222221</v>
      </c>
      <c r="W73" s="126">
        <f t="shared" si="23"/>
        <v>0.27777777777777779</v>
      </c>
    </row>
    <row r="74" spans="1:23" ht="27.75" hidden="1" customHeight="1" outlineLevel="1" x14ac:dyDescent="0.25">
      <c r="A74" s="143" t="s">
        <v>164</v>
      </c>
      <c r="B74" s="225" t="s">
        <v>10</v>
      </c>
      <c r="C74" s="112">
        <f>'1. Показатели'!R396</f>
        <v>4</v>
      </c>
      <c r="D74" s="112">
        <f>'1. Показатели'!S396</f>
        <v>3</v>
      </c>
      <c r="E74" s="112">
        <f>'1. Показатели'!T396</f>
        <v>1</v>
      </c>
      <c r="F74" s="112">
        <f>'1. Показатели'!U396</f>
        <v>0</v>
      </c>
      <c r="G74" s="112">
        <f>'1. Показатели'!V396</f>
        <v>0</v>
      </c>
      <c r="H74" s="112">
        <f>'1. Показатели'!W396</f>
        <v>0</v>
      </c>
      <c r="I74" s="113">
        <f>'1. Показатели'!H396</f>
        <v>1</v>
      </c>
      <c r="J74" s="114">
        <f>'1. Показатели'!Z396</f>
        <v>0</v>
      </c>
      <c r="K74" s="114">
        <f>'1. Показатели'!AA396</f>
        <v>0</v>
      </c>
      <c r="L74" s="114">
        <f>'1. Показатели'!AB396</f>
        <v>0</v>
      </c>
      <c r="M74" s="113">
        <f>'1. Показатели'!I396</f>
        <v>1</v>
      </c>
      <c r="N74" s="22">
        <f>'2.ПП'!G220</f>
        <v>20</v>
      </c>
      <c r="O74" s="22">
        <f>'2.ПП'!H220</f>
        <v>19</v>
      </c>
      <c r="P74" s="22">
        <f>'2.ПП'!I220</f>
        <v>1</v>
      </c>
      <c r="Q74" s="22">
        <f>'2.ПП'!J220</f>
        <v>0</v>
      </c>
      <c r="R74" s="21">
        <f t="shared" si="20"/>
        <v>0.97499999999999998</v>
      </c>
      <c r="S74" s="226">
        <f>I74*$I$8+(M74-3%)*$M$8+R74*$R$8</f>
        <v>0.98075000000000001</v>
      </c>
      <c r="T74" s="21" t="str">
        <f>IF(S74&gt;=97%,"Высокая",IF((S74&gt;=92%)*AND(S74&lt;97%),"Средняя",IF((S74&gt;=85%)*AND(S74&lt;92%),"Ниже среднего","Низкая")))</f>
        <v>Высокая</v>
      </c>
      <c r="U74" s="20">
        <f t="shared" si="21"/>
        <v>0.98075000000000001</v>
      </c>
      <c r="V74" s="4">
        <f t="shared" si="22"/>
        <v>0.97499999999999998</v>
      </c>
      <c r="W74" s="126">
        <f t="shared" si="23"/>
        <v>2.5000000000000022E-2</v>
      </c>
    </row>
    <row r="75" spans="1:23" ht="32.25" hidden="1" customHeight="1" outlineLevel="1" x14ac:dyDescent="0.25">
      <c r="A75" s="484" t="s">
        <v>165</v>
      </c>
      <c r="B75" s="225" t="s">
        <v>1080</v>
      </c>
      <c r="C75" s="112">
        <f>'1. Показатели'!R401</f>
        <v>3</v>
      </c>
      <c r="D75" s="112">
        <f>'1. Показатели'!S401</f>
        <v>1</v>
      </c>
      <c r="E75" s="112">
        <f>'1. Показатели'!T401</f>
        <v>0</v>
      </c>
      <c r="F75" s="112">
        <f>'1. Показатели'!U401</f>
        <v>1</v>
      </c>
      <c r="G75" s="112">
        <f>'1. Показатели'!V401</f>
        <v>0</v>
      </c>
      <c r="H75" s="112">
        <f>'1. Показатели'!W401</f>
        <v>1</v>
      </c>
      <c r="I75" s="113">
        <f>'1. Показатели'!H401</f>
        <v>0.5</v>
      </c>
      <c r="J75" s="114">
        <f>'1. Показатели'!Z401</f>
        <v>0</v>
      </c>
      <c r="K75" s="114">
        <f>'1. Показатели'!AA401</f>
        <v>0</v>
      </c>
      <c r="L75" s="114">
        <f>'1. Показатели'!AB401</f>
        <v>0</v>
      </c>
      <c r="M75" s="21">
        <f>'1. Показатели'!I401</f>
        <v>1</v>
      </c>
      <c r="N75" s="22">
        <f>'2.ПП'!G224</f>
        <v>7</v>
      </c>
      <c r="O75" s="22">
        <f>'2.ПП'!H224</f>
        <v>6</v>
      </c>
      <c r="P75" s="22">
        <f>'2.ПП'!I224</f>
        <v>1</v>
      </c>
      <c r="Q75" s="22">
        <f>'2.ПП'!J224</f>
        <v>0</v>
      </c>
      <c r="R75" s="21">
        <f t="shared" si="20"/>
        <v>0.9285714285714286</v>
      </c>
      <c r="S75" s="226">
        <f>I75*$I$8+(M75-3%)*$M$8+R75*$R$8</f>
        <v>0.8145</v>
      </c>
      <c r="T75" s="21" t="str">
        <f>IF(S75&gt;=97%,"Высокая",IF((S75&gt;=92%)*AND(S75&lt;97%),"Средняя",IF((S75&gt;=85%)*AND(S75&lt;92%),"Ниже среднего","Низкая")))</f>
        <v>Низкая</v>
      </c>
      <c r="U75" s="20">
        <f t="shared" si="21"/>
        <v>0.8145</v>
      </c>
      <c r="V75" s="4">
        <f t="shared" si="22"/>
        <v>0.9285714285714286</v>
      </c>
      <c r="W75" s="127">
        <f t="shared" si="23"/>
        <v>-0.4285714285714286</v>
      </c>
    </row>
    <row r="76" spans="1:23" ht="29.25" hidden="1" customHeight="1" outlineLevel="1" x14ac:dyDescent="0.25">
      <c r="A76" s="484" t="s">
        <v>272</v>
      </c>
      <c r="B76" s="225" t="s">
        <v>1104</v>
      </c>
      <c r="C76" s="112">
        <f>'1. Показатели'!R405</f>
        <v>3</v>
      </c>
      <c r="D76" s="112">
        <f>'1. Показатели'!S405</f>
        <v>0</v>
      </c>
      <c r="E76" s="112">
        <f>'1. Показатели'!T405</f>
        <v>0</v>
      </c>
      <c r="F76" s="112">
        <f>'1. Показатели'!U405</f>
        <v>2</v>
      </c>
      <c r="G76" s="112">
        <f>'1. Показатели'!V405</f>
        <v>0</v>
      </c>
      <c r="H76" s="112">
        <f>'1. Показатели'!W405</f>
        <v>1</v>
      </c>
      <c r="I76" s="113">
        <f>'1. Показатели'!H405</f>
        <v>0.66666666666666663</v>
      </c>
      <c r="J76" s="114">
        <f>'1. Показатели'!Z405</f>
        <v>0</v>
      </c>
      <c r="K76" s="114">
        <f>'1. Показатели'!AA405</f>
        <v>0</v>
      </c>
      <c r="L76" s="114">
        <f>'1. Показатели'!AB405</f>
        <v>0</v>
      </c>
      <c r="M76" s="21">
        <f>'1. Показатели'!I405</f>
        <v>1</v>
      </c>
      <c r="N76" s="22">
        <f>'2.ПП'!G227</f>
        <v>4</v>
      </c>
      <c r="O76" s="22">
        <f>'2.ПП'!H227</f>
        <v>3</v>
      </c>
      <c r="P76" s="22">
        <f>'2.ПП'!I227</f>
        <v>1</v>
      </c>
      <c r="Q76" s="22">
        <f>'2.ПП'!J227</f>
        <v>0</v>
      </c>
      <c r="R76" s="21">
        <f t="shared" si="20"/>
        <v>0.875</v>
      </c>
      <c r="S76" s="226">
        <f>I76*$I$8+(M76-3%)*$M$8+R76*$R$8</f>
        <v>0.84575</v>
      </c>
      <c r="T76" s="21" t="str">
        <f>IF(S76&gt;=97%,"Высокая",IF((S76&gt;=92%)*AND(S76&lt;97%),"Средняя",IF((S76&gt;=85%)*AND(S76&lt;92%),"Ниже среднего","Низкая")))</f>
        <v>Низкая</v>
      </c>
      <c r="U76" s="20">
        <f t="shared" si="21"/>
        <v>0.84575</v>
      </c>
      <c r="V76" s="4">
        <f t="shared" si="22"/>
        <v>0.875</v>
      </c>
      <c r="W76" s="126">
        <f t="shared" si="23"/>
        <v>-0.20833333333333337</v>
      </c>
    </row>
    <row r="77" spans="1:23" ht="27" hidden="1" customHeight="1" outlineLevel="1" x14ac:dyDescent="0.25">
      <c r="A77" s="484" t="s">
        <v>1887</v>
      </c>
      <c r="B77" s="225" t="s">
        <v>1081</v>
      </c>
      <c r="C77" s="215" t="s">
        <v>41</v>
      </c>
      <c r="D77" s="215" t="s">
        <v>41</v>
      </c>
      <c r="E77" s="215" t="s">
        <v>41</v>
      </c>
      <c r="F77" s="215" t="s">
        <v>41</v>
      </c>
      <c r="G77" s="215" t="s">
        <v>41</v>
      </c>
      <c r="H77" s="215" t="s">
        <v>41</v>
      </c>
      <c r="I77" s="215" t="s">
        <v>41</v>
      </c>
      <c r="J77" s="215" t="s">
        <v>41</v>
      </c>
      <c r="K77" s="215" t="s">
        <v>41</v>
      </c>
      <c r="L77" s="215" t="s">
        <v>41</v>
      </c>
      <c r="M77" s="215" t="s">
        <v>41</v>
      </c>
      <c r="N77" s="22">
        <f>'2.ПП'!G229</f>
        <v>9</v>
      </c>
      <c r="O77" s="22">
        <f>'2.ПП'!H229</f>
        <v>9</v>
      </c>
      <c r="P77" s="22">
        <f>'2.ПП'!I229</f>
        <v>0</v>
      </c>
      <c r="Q77" s="22">
        <f>'2.ПП'!J229</f>
        <v>0</v>
      </c>
      <c r="R77" s="21">
        <f t="shared" si="20"/>
        <v>1</v>
      </c>
      <c r="S77" s="226" t="s">
        <v>41</v>
      </c>
      <c r="T77" s="21" t="s">
        <v>41</v>
      </c>
      <c r="U77" s="20" t="e">
        <f t="shared" si="21"/>
        <v>#VALUE!</v>
      </c>
      <c r="V77" s="4">
        <f t="shared" si="22"/>
        <v>1</v>
      </c>
      <c r="W77" s="126" t="e">
        <f t="shared" si="23"/>
        <v>#VALUE!</v>
      </c>
    </row>
    <row r="78" spans="1:23" ht="27" customHeight="1" collapsed="1" x14ac:dyDescent="0.25">
      <c r="A78" s="17" t="s">
        <v>166</v>
      </c>
      <c r="B78" s="197" t="s">
        <v>1071</v>
      </c>
      <c r="C78" s="115">
        <f>'1. Показатели'!R409</f>
        <v>11</v>
      </c>
      <c r="D78" s="115">
        <f>'1. Показатели'!S409</f>
        <v>0</v>
      </c>
      <c r="E78" s="115">
        <f>'1. Показатели'!T409</f>
        <v>1</v>
      </c>
      <c r="F78" s="115">
        <f>'1. Показатели'!U409</f>
        <v>10</v>
      </c>
      <c r="G78" s="115">
        <f>'1. Показатели'!V409</f>
        <v>0</v>
      </c>
      <c r="H78" s="115">
        <f>'1. Показатели'!W409</f>
        <v>0</v>
      </c>
      <c r="I78" s="18">
        <f>'1. Показатели'!H409</f>
        <v>1</v>
      </c>
      <c r="J78" s="429">
        <f>'1. Показатели'!Z409</f>
        <v>3</v>
      </c>
      <c r="K78" s="429">
        <f>'1. Показатели'!AA409</f>
        <v>5</v>
      </c>
      <c r="L78" s="429">
        <f>'1. Показатели'!AB409</f>
        <v>2</v>
      </c>
      <c r="M78" s="30">
        <f>'1. Показатели'!I409</f>
        <v>0.96797937404324441</v>
      </c>
      <c r="N78" s="429">
        <f>'2.ПП'!G231</f>
        <v>23</v>
      </c>
      <c r="O78" s="429">
        <f>'2.ПП'!H231</f>
        <v>17</v>
      </c>
      <c r="P78" s="429">
        <f>'2.ПП'!I231</f>
        <v>5</v>
      </c>
      <c r="Q78" s="429">
        <f>'2.ПП'!J231</f>
        <v>1</v>
      </c>
      <c r="R78" s="444">
        <f t="shared" si="20"/>
        <v>0.84782608695652173</v>
      </c>
      <c r="S78" s="30">
        <f t="shared" ref="S78:S86" si="24">I78*$I$8+(M78-3%)*$M$8+R78*$R$8</f>
        <v>0.92503191134991813</v>
      </c>
      <c r="T78" s="124" t="str">
        <f t="shared" ref="T78:T87" si="25">IF(S78&gt;=97%,"Высокая",IF((S78&gt;=92%)*AND(S78&lt;97%),"Средняя",IF((S78&gt;=85%)*AND(S78&lt;92%),"Ниже среднего","Низкая")))</f>
        <v>Средняя</v>
      </c>
      <c r="U78" s="20">
        <f t="shared" si="21"/>
        <v>0.92503191134991813</v>
      </c>
      <c r="V78" s="4">
        <f t="shared" si="22"/>
        <v>0.84782608695652173</v>
      </c>
      <c r="W78" s="127">
        <f t="shared" si="23"/>
        <v>0.15217391304347827</v>
      </c>
    </row>
    <row r="79" spans="1:23" ht="34.5" hidden="1" customHeight="1" outlineLevel="1" x14ac:dyDescent="0.25">
      <c r="A79" s="143" t="s">
        <v>167</v>
      </c>
      <c r="B79" s="225" t="s">
        <v>1024</v>
      </c>
      <c r="C79" s="112">
        <f>'1. Показатели'!R413</f>
        <v>5</v>
      </c>
      <c r="D79" s="112">
        <f>'1. Показатели'!S413</f>
        <v>0</v>
      </c>
      <c r="E79" s="112">
        <f>'1. Показатели'!T413</f>
        <v>0</v>
      </c>
      <c r="F79" s="112">
        <f>'1. Показатели'!U413</f>
        <v>5</v>
      </c>
      <c r="G79" s="112">
        <f>'1. Показатели'!V413</f>
        <v>0</v>
      </c>
      <c r="H79" s="112">
        <f>'1. Показатели'!W413</f>
        <v>0</v>
      </c>
      <c r="I79" s="21">
        <f>'1. Показатели'!H413</f>
        <v>1</v>
      </c>
      <c r="J79" s="22">
        <f>'1. Показатели'!Z413</f>
        <v>1</v>
      </c>
      <c r="K79" s="22">
        <f>'1. Показатели'!AA413</f>
        <v>2</v>
      </c>
      <c r="L79" s="22">
        <f>'1. Показатели'!AB413</f>
        <v>1</v>
      </c>
      <c r="M79" s="21">
        <f>'1. Показатели'!I413</f>
        <v>0.97031995729254694</v>
      </c>
      <c r="N79" s="22">
        <f>'2.ПП'!G234</f>
        <v>20</v>
      </c>
      <c r="O79" s="22">
        <f>'2.ПП'!H234</f>
        <v>14</v>
      </c>
      <c r="P79" s="22">
        <f>'2.ПП'!I234</f>
        <v>5</v>
      </c>
      <c r="Q79" s="22">
        <f>'2.ПП'!J234</f>
        <v>1</v>
      </c>
      <c r="R79" s="21">
        <f t="shared" si="20"/>
        <v>0.82499999999999996</v>
      </c>
      <c r="S79" s="226">
        <f t="shared" si="24"/>
        <v>0.91786198505239136</v>
      </c>
      <c r="T79" s="21" t="str">
        <f t="shared" si="25"/>
        <v>Ниже среднего</v>
      </c>
      <c r="U79" s="20">
        <f t="shared" si="21"/>
        <v>0.91786198505239136</v>
      </c>
      <c r="V79" s="4">
        <f t="shared" si="22"/>
        <v>0.82499999999999996</v>
      </c>
      <c r="W79" s="126">
        <f t="shared" si="23"/>
        <v>0.17500000000000004</v>
      </c>
    </row>
    <row r="80" spans="1:23" ht="62.25" hidden="1" customHeight="1" outlineLevel="1" x14ac:dyDescent="0.25">
      <c r="A80" s="143" t="s">
        <v>168</v>
      </c>
      <c r="B80" s="225" t="s">
        <v>1025</v>
      </c>
      <c r="C80" s="112">
        <f>'1. Показатели'!R419</f>
        <v>3</v>
      </c>
      <c r="D80" s="112">
        <f>'1. Показатели'!S419</f>
        <v>0</v>
      </c>
      <c r="E80" s="112">
        <f>'1. Показатели'!T419</f>
        <v>1</v>
      </c>
      <c r="F80" s="112">
        <f>'1. Показатели'!U419</f>
        <v>2</v>
      </c>
      <c r="G80" s="112">
        <f>'1. Показатели'!V419</f>
        <v>0</v>
      </c>
      <c r="H80" s="112">
        <f>'1. Показатели'!W419</f>
        <v>0</v>
      </c>
      <c r="I80" s="21">
        <f>'1. Показатели'!H419</f>
        <v>1</v>
      </c>
      <c r="J80" s="22">
        <f>'1. Показатели'!Z419</f>
        <v>1</v>
      </c>
      <c r="K80" s="22">
        <f>'1. Показатели'!AA419</f>
        <v>1</v>
      </c>
      <c r="L80" s="22">
        <f>'1. Показатели'!AB419</f>
        <v>1</v>
      </c>
      <c r="M80" s="21">
        <f>'1. Показатели'!I419</f>
        <v>0.89542555800833945</v>
      </c>
      <c r="N80" s="22">
        <f>'2.ПП'!G237</f>
        <v>3</v>
      </c>
      <c r="O80" s="22">
        <f>'2.ПП'!H237</f>
        <v>3</v>
      </c>
      <c r="P80" s="22">
        <f>'2.ПП'!I237</f>
        <v>0</v>
      </c>
      <c r="Q80" s="22">
        <f>'2.ПП'!J237</f>
        <v>0</v>
      </c>
      <c r="R80" s="21">
        <f t="shared" si="20"/>
        <v>1</v>
      </c>
      <c r="S80" s="226">
        <f t="shared" si="24"/>
        <v>0.95289894530291874</v>
      </c>
      <c r="T80" s="21" t="str">
        <f t="shared" si="25"/>
        <v>Средняя</v>
      </c>
      <c r="U80" s="20">
        <f t="shared" si="21"/>
        <v>0.95289894530291874</v>
      </c>
      <c r="V80" s="4">
        <f t="shared" si="22"/>
        <v>1</v>
      </c>
      <c r="W80" s="126">
        <f t="shared" si="23"/>
        <v>0</v>
      </c>
    </row>
    <row r="81" spans="1:23" ht="30" customHeight="1" collapsed="1" x14ac:dyDescent="0.25">
      <c r="A81" s="17" t="s">
        <v>169</v>
      </c>
      <c r="B81" s="197" t="s">
        <v>1096</v>
      </c>
      <c r="C81" s="115">
        <f>'1. Показатели'!R423</f>
        <v>19</v>
      </c>
      <c r="D81" s="115">
        <f>'1. Показатели'!S423</f>
        <v>3</v>
      </c>
      <c r="E81" s="115">
        <f>'1. Показатели'!T423</f>
        <v>3</v>
      </c>
      <c r="F81" s="115">
        <f>'1. Показатели'!U423</f>
        <v>13</v>
      </c>
      <c r="G81" s="115">
        <f>'1. Показатели'!V423</f>
        <v>0</v>
      </c>
      <c r="H81" s="115">
        <f>'1. Показатели'!W423</f>
        <v>0</v>
      </c>
      <c r="I81" s="18">
        <f>'1. Показатели'!H423</f>
        <v>1</v>
      </c>
      <c r="J81" s="116">
        <f>'1. Показатели'!Z423</f>
        <v>7</v>
      </c>
      <c r="K81" s="116">
        <f>'1. Показатели'!AA423</f>
        <v>4</v>
      </c>
      <c r="L81" s="116">
        <f>'1. Показатели'!AB423</f>
        <v>1</v>
      </c>
      <c r="M81" s="18">
        <f>'1. Показатели'!I423</f>
        <v>1.0882353950260748</v>
      </c>
      <c r="N81" s="429">
        <f>'2.ПП'!G238</f>
        <v>23</v>
      </c>
      <c r="O81" s="429">
        <f>'2.ПП'!H238</f>
        <v>22</v>
      </c>
      <c r="P81" s="429">
        <f>'2.ПП'!I238</f>
        <v>1</v>
      </c>
      <c r="Q81" s="429">
        <f>'2.ПП'!J238</f>
        <v>0</v>
      </c>
      <c r="R81" s="18">
        <f t="shared" si="20"/>
        <v>0.97826086956521741</v>
      </c>
      <c r="S81" s="18">
        <f t="shared" si="24"/>
        <v>1.0127736926069524</v>
      </c>
      <c r="T81" s="374" t="str">
        <f t="shared" si="25"/>
        <v>Высокая</v>
      </c>
      <c r="U81" s="20">
        <f t="shared" si="21"/>
        <v>1.0127736926069524</v>
      </c>
      <c r="V81" s="4">
        <f t="shared" si="22"/>
        <v>0.97826086956521741</v>
      </c>
      <c r="W81" s="126">
        <f t="shared" si="23"/>
        <v>2.1739130434782594E-2</v>
      </c>
    </row>
    <row r="82" spans="1:23" ht="25.5" hidden="1" customHeight="1" outlineLevel="1" x14ac:dyDescent="0.25">
      <c r="A82" s="143" t="s">
        <v>170</v>
      </c>
      <c r="B82" s="225" t="s">
        <v>1026</v>
      </c>
      <c r="C82" s="112">
        <f>'1. Показатели'!R428</f>
        <v>5</v>
      </c>
      <c r="D82" s="112">
        <f>'1. Показатели'!S428</f>
        <v>2</v>
      </c>
      <c r="E82" s="112">
        <f>'1. Показатели'!T428</f>
        <v>2</v>
      </c>
      <c r="F82" s="112">
        <f>'1. Показатели'!U428</f>
        <v>1</v>
      </c>
      <c r="G82" s="112">
        <f>'1. Показатели'!V428</f>
        <v>0</v>
      </c>
      <c r="H82" s="112">
        <f>'1. Показатели'!W428</f>
        <v>0</v>
      </c>
      <c r="I82" s="113">
        <f>'1. Показатели'!H428</f>
        <v>1</v>
      </c>
      <c r="J82" s="114">
        <f>'1. Показатели'!Z428</f>
        <v>2</v>
      </c>
      <c r="K82" s="114">
        <f>'1. Показатели'!AA428</f>
        <v>0</v>
      </c>
      <c r="L82" s="114">
        <f>'1. Показатели'!AB428</f>
        <v>0</v>
      </c>
      <c r="M82" s="113">
        <f>'1. Показатели'!I428</f>
        <v>1.2124999999999999</v>
      </c>
      <c r="N82" s="22">
        <f>'2.ПП'!G241</f>
        <v>8</v>
      </c>
      <c r="O82" s="22">
        <f>'2.ПП'!H241</f>
        <v>7</v>
      </c>
      <c r="P82" s="22">
        <f>'2.ПП'!I241</f>
        <v>1</v>
      </c>
      <c r="Q82" s="22">
        <f>'2.ПП'!J241</f>
        <v>0</v>
      </c>
      <c r="R82" s="21">
        <f t="shared" si="20"/>
        <v>0.9375</v>
      </c>
      <c r="S82" s="122">
        <f t="shared" si="24"/>
        <v>1.0419999999999998</v>
      </c>
      <c r="T82" s="21" t="str">
        <f t="shared" si="25"/>
        <v>Высокая</v>
      </c>
      <c r="U82" s="20">
        <f t="shared" si="21"/>
        <v>1.0419999999999998</v>
      </c>
      <c r="V82" s="4">
        <f t="shared" si="22"/>
        <v>0.9375</v>
      </c>
      <c r="W82" s="127">
        <f t="shared" si="23"/>
        <v>6.25E-2</v>
      </c>
    </row>
    <row r="83" spans="1:23" ht="51.75" hidden="1" customHeight="1" outlineLevel="1" x14ac:dyDescent="0.25">
      <c r="A83" s="143" t="s">
        <v>171</v>
      </c>
      <c r="B83" s="225" t="s">
        <v>1027</v>
      </c>
      <c r="C83" s="112">
        <f>'1. Показатели'!R434</f>
        <v>4</v>
      </c>
      <c r="D83" s="112">
        <f>'1. Показатели'!S434</f>
        <v>0</v>
      </c>
      <c r="E83" s="112">
        <f>'1. Показатели'!T434</f>
        <v>0</v>
      </c>
      <c r="F83" s="112">
        <f>'1. Показатели'!U434</f>
        <v>4</v>
      </c>
      <c r="G83" s="112">
        <f>'1. Показатели'!V434</f>
        <v>0</v>
      </c>
      <c r="H83" s="112">
        <f>'1. Показатели'!W434</f>
        <v>0</v>
      </c>
      <c r="I83" s="113">
        <f>'1. Показатели'!H434</f>
        <v>1</v>
      </c>
      <c r="J83" s="114">
        <f>'1. Показатели'!Z434</f>
        <v>1</v>
      </c>
      <c r="K83" s="114">
        <f>'1. Показатели'!AA434</f>
        <v>1</v>
      </c>
      <c r="L83" s="114">
        <f>'1. Показатели'!AB434</f>
        <v>0</v>
      </c>
      <c r="M83" s="113">
        <f>'1. Показатели'!I434</f>
        <v>1.0384615384615383</v>
      </c>
      <c r="N83" s="22">
        <f>'2.ПП'!G242</f>
        <v>7</v>
      </c>
      <c r="O83" s="22">
        <f>'2.ПП'!H242</f>
        <v>7</v>
      </c>
      <c r="P83" s="22">
        <f>'2.ПП'!I242</f>
        <v>0</v>
      </c>
      <c r="Q83" s="22">
        <f>'2.ПП'!J242</f>
        <v>0</v>
      </c>
      <c r="R83" s="21">
        <f t="shared" si="20"/>
        <v>1</v>
      </c>
      <c r="S83" s="122">
        <f t="shared" si="24"/>
        <v>1.0029615384615385</v>
      </c>
      <c r="T83" s="21" t="str">
        <f t="shared" si="25"/>
        <v>Высокая</v>
      </c>
      <c r="U83" s="20">
        <f t="shared" si="21"/>
        <v>1.0029615384615385</v>
      </c>
      <c r="V83" s="4">
        <f t="shared" si="22"/>
        <v>1</v>
      </c>
      <c r="W83" s="126">
        <f t="shared" si="23"/>
        <v>0</v>
      </c>
    </row>
    <row r="84" spans="1:23" ht="56.25" hidden="1" customHeight="1" outlineLevel="1" x14ac:dyDescent="0.25">
      <c r="A84" s="484" t="s">
        <v>1848</v>
      </c>
      <c r="B84" s="225" t="s">
        <v>1028</v>
      </c>
      <c r="C84" s="112">
        <f>'1. Показатели'!R439</f>
        <v>2</v>
      </c>
      <c r="D84" s="112">
        <f>'1. Показатели'!S439</f>
        <v>0</v>
      </c>
      <c r="E84" s="112">
        <f>'1. Показатели'!T439</f>
        <v>0</v>
      </c>
      <c r="F84" s="112">
        <f>'1. Показатели'!U439</f>
        <v>2</v>
      </c>
      <c r="G84" s="112">
        <f>'1. Показатели'!V439</f>
        <v>0</v>
      </c>
      <c r="H84" s="112">
        <f>'1. Показатели'!W439</f>
        <v>0</v>
      </c>
      <c r="I84" s="113">
        <f>'1. Показатели'!H439</f>
        <v>1</v>
      </c>
      <c r="J84" s="114">
        <f>'1. Показатели'!Z439</f>
        <v>0</v>
      </c>
      <c r="K84" s="114">
        <f>'1. Показатели'!AA439</f>
        <v>2</v>
      </c>
      <c r="L84" s="114">
        <f>'1. Показатели'!AB439</f>
        <v>0</v>
      </c>
      <c r="M84" s="21">
        <f>'1. Показатели'!I439</f>
        <v>1</v>
      </c>
      <c r="N84" s="22">
        <f>'2.ПП'!G245</f>
        <v>2</v>
      </c>
      <c r="O84" s="22">
        <f>'2.ПП'!H245</f>
        <v>2</v>
      </c>
      <c r="P84" s="22">
        <f>'2.ПП'!I245</f>
        <v>0</v>
      </c>
      <c r="Q84" s="22">
        <f>'2.ПП'!J245</f>
        <v>0</v>
      </c>
      <c r="R84" s="21">
        <f t="shared" si="20"/>
        <v>1</v>
      </c>
      <c r="S84" s="122">
        <f t="shared" si="24"/>
        <v>0.98949999999999994</v>
      </c>
      <c r="T84" s="21" t="str">
        <f t="shared" si="25"/>
        <v>Высокая</v>
      </c>
      <c r="U84" s="20">
        <f t="shared" si="21"/>
        <v>0.98949999999999994</v>
      </c>
      <c r="V84" s="4">
        <f t="shared" si="22"/>
        <v>1</v>
      </c>
      <c r="W84" s="126">
        <f t="shared" si="23"/>
        <v>0</v>
      </c>
    </row>
    <row r="85" spans="1:23" ht="38.25" hidden="1" customHeight="1" outlineLevel="1" x14ac:dyDescent="0.25">
      <c r="A85" s="484" t="s">
        <v>1851</v>
      </c>
      <c r="B85" s="225" t="s">
        <v>1029</v>
      </c>
      <c r="C85" s="112">
        <f>'1. Показатели'!R442</f>
        <v>4</v>
      </c>
      <c r="D85" s="112">
        <f>'1. Показатели'!S442</f>
        <v>0</v>
      </c>
      <c r="E85" s="112">
        <f>'1. Показатели'!T442</f>
        <v>0</v>
      </c>
      <c r="F85" s="112">
        <f>'1. Показатели'!U442</f>
        <v>4</v>
      </c>
      <c r="G85" s="112">
        <f>'1. Показатели'!V442</f>
        <v>0</v>
      </c>
      <c r="H85" s="112">
        <f>'1. Показатели'!W442</f>
        <v>0</v>
      </c>
      <c r="I85" s="113">
        <f>'1. Показатели'!H442</f>
        <v>1</v>
      </c>
      <c r="J85" s="114">
        <f>'1. Показатели'!Z442</f>
        <v>2</v>
      </c>
      <c r="K85" s="114">
        <f>'1. Показатели'!AA442</f>
        <v>1</v>
      </c>
      <c r="L85" s="114">
        <f>'1. Показатели'!AB442</f>
        <v>1</v>
      </c>
      <c r="M85" s="21">
        <f>'1. Показатели'!I442</f>
        <v>1.0723484848484848</v>
      </c>
      <c r="N85" s="22">
        <f>'2.ПП'!G246</f>
        <v>6</v>
      </c>
      <c r="O85" s="22">
        <f>'2.ПП'!H246</f>
        <v>6</v>
      </c>
      <c r="P85" s="22">
        <f>'2.ПП'!I246</f>
        <v>0</v>
      </c>
      <c r="Q85" s="22">
        <f>'2.ПП'!J246</f>
        <v>0</v>
      </c>
      <c r="R85" s="21">
        <f t="shared" si="20"/>
        <v>1</v>
      </c>
      <c r="S85" s="122">
        <f t="shared" si="24"/>
        <v>1.0148219696969696</v>
      </c>
      <c r="T85" s="21" t="str">
        <f t="shared" si="25"/>
        <v>Высокая</v>
      </c>
      <c r="U85" s="20">
        <f t="shared" si="21"/>
        <v>1.0148219696969696</v>
      </c>
      <c r="V85" s="4">
        <f t="shared" si="22"/>
        <v>1</v>
      </c>
      <c r="W85" s="126">
        <f t="shared" si="23"/>
        <v>0</v>
      </c>
    </row>
    <row r="86" spans="1:23" ht="35.25" customHeight="1" collapsed="1" x14ac:dyDescent="0.25">
      <c r="A86" s="17" t="s">
        <v>172</v>
      </c>
      <c r="B86" s="197" t="s">
        <v>1097</v>
      </c>
      <c r="C86" s="428">
        <f>'1. Показатели'!R447</f>
        <v>41</v>
      </c>
      <c r="D86" s="428">
        <f>'1. Показатели'!S447</f>
        <v>1</v>
      </c>
      <c r="E86" s="428">
        <f>'1. Показатели'!T447</f>
        <v>4</v>
      </c>
      <c r="F86" s="428">
        <f>'1. Показатели'!U447</f>
        <v>31</v>
      </c>
      <c r="G86" s="428">
        <f>'1. Показатели'!V447</f>
        <v>2</v>
      </c>
      <c r="H86" s="428">
        <f>'1. Показатели'!W447</f>
        <v>3</v>
      </c>
      <c r="I86" s="30">
        <f>'1. Показатели'!H447</f>
        <v>0.96049729949899765</v>
      </c>
      <c r="J86" s="429">
        <f>'1. Показатели'!Z447</f>
        <v>10</v>
      </c>
      <c r="K86" s="429">
        <f>'1. Показатели'!AA447</f>
        <v>16</v>
      </c>
      <c r="L86" s="429">
        <f>'1. Показатели'!AB447</f>
        <v>8</v>
      </c>
      <c r="M86" s="30">
        <f>'1. Показатели'!I447</f>
        <v>0.96729950774152351</v>
      </c>
      <c r="N86" s="429">
        <f>'2.ПП'!G247</f>
        <v>99</v>
      </c>
      <c r="O86" s="429">
        <f>'2.ПП'!H247</f>
        <v>91</v>
      </c>
      <c r="P86" s="429">
        <f>'2.ПП'!I247</f>
        <v>8</v>
      </c>
      <c r="Q86" s="429">
        <f>'2.ПП'!J247</f>
        <v>0</v>
      </c>
      <c r="R86" s="30">
        <f>(O86+0.5*P86)/N86</f>
        <v>0.95959595959595956</v>
      </c>
      <c r="S86" s="30">
        <f t="shared" si="24"/>
        <v>0.95206260341781834</v>
      </c>
      <c r="T86" s="125" t="str">
        <f t="shared" si="25"/>
        <v>Средняя</v>
      </c>
      <c r="U86" s="20">
        <f t="shared" si="21"/>
        <v>0.95206260341781834</v>
      </c>
      <c r="V86" s="4">
        <f t="shared" si="22"/>
        <v>0.95959595959595956</v>
      </c>
      <c r="W86" s="126">
        <f t="shared" si="23"/>
        <v>9.0133990303808975E-4</v>
      </c>
    </row>
    <row r="87" spans="1:23" ht="23.25" hidden="1" customHeight="1" outlineLevel="1" x14ac:dyDescent="0.25">
      <c r="A87" s="147" t="s">
        <v>174</v>
      </c>
      <c r="B87" s="225" t="s">
        <v>1030</v>
      </c>
      <c r="C87" s="215">
        <f>'1. Показатели'!R456</f>
        <v>10</v>
      </c>
      <c r="D87" s="215">
        <f>'1. Показатели'!S456</f>
        <v>0</v>
      </c>
      <c r="E87" s="215">
        <f>'1. Показатели'!T456</f>
        <v>3</v>
      </c>
      <c r="F87" s="215">
        <f>'1. Показатели'!U456</f>
        <v>5</v>
      </c>
      <c r="G87" s="215">
        <f>'1. Показатели'!V456</f>
        <v>1</v>
      </c>
      <c r="H87" s="215">
        <f>'1. Показатели'!W456</f>
        <v>1</v>
      </c>
      <c r="I87" s="21">
        <f>'1. Показатели'!H456</f>
        <v>0.89890000000000003</v>
      </c>
      <c r="J87" s="22">
        <f>'1. Показатели'!Z456</f>
        <v>2</v>
      </c>
      <c r="K87" s="22">
        <f>'1. Показатели'!AA456</f>
        <v>3</v>
      </c>
      <c r="L87" s="22">
        <f>'1. Показатели'!AB456</f>
        <v>3</v>
      </c>
      <c r="M87" s="21">
        <f>'1. Показатели'!I456</f>
        <v>0.89364872627372627</v>
      </c>
      <c r="N87" s="22">
        <f>'2.ПП'!G251</f>
        <v>33</v>
      </c>
      <c r="O87" s="22">
        <f>'2.ПП'!H251</f>
        <v>29</v>
      </c>
      <c r="P87" s="22">
        <f>'2.ПП'!I251</f>
        <v>4</v>
      </c>
      <c r="Q87" s="22">
        <f>'2.ПП'!J251</f>
        <v>0</v>
      </c>
      <c r="R87" s="21">
        <f t="shared" ref="R87:R91" si="26">(O87+0.5*P87)/N87</f>
        <v>0.93939393939393945</v>
      </c>
      <c r="S87" s="226">
        <f t="shared" ref="S87:S91" si="27">I87*$I$8+(M87-3%)*$M$8+R87*$R$8</f>
        <v>0.9007349329836829</v>
      </c>
      <c r="T87" s="21" t="str">
        <f t="shared" si="25"/>
        <v>Ниже среднего</v>
      </c>
      <c r="V87" s="4">
        <f t="shared" ref="V87:V91" si="28">(O87+0.5*P87)/N87</f>
        <v>0.93939393939393945</v>
      </c>
      <c r="W87" s="126">
        <f t="shared" ref="W87:W91" si="29">I87-R87</f>
        <v>-4.0493939393939415E-2</v>
      </c>
    </row>
    <row r="88" spans="1:23" ht="28.5" hidden="1" customHeight="1" outlineLevel="1" x14ac:dyDescent="0.25">
      <c r="A88" s="147" t="s">
        <v>175</v>
      </c>
      <c r="B88" s="225" t="s">
        <v>1031</v>
      </c>
      <c r="C88" s="215">
        <f>'1. Показатели'!R467</f>
        <v>7</v>
      </c>
      <c r="D88" s="215">
        <f>'1. Показатели'!S467</f>
        <v>0</v>
      </c>
      <c r="E88" s="215">
        <f>'1. Показатели'!T467</f>
        <v>0</v>
      </c>
      <c r="F88" s="215">
        <f>'1. Показатели'!U467</f>
        <v>6</v>
      </c>
      <c r="G88" s="215">
        <f>'1. Показатели'!V467</f>
        <v>1</v>
      </c>
      <c r="H88" s="215">
        <f>'1. Показатели'!W467</f>
        <v>0</v>
      </c>
      <c r="I88" s="21">
        <f>'1. Показатели'!H467</f>
        <v>0.99047619047619051</v>
      </c>
      <c r="J88" s="22">
        <f>'1. Показатели'!Z467</f>
        <v>0</v>
      </c>
      <c r="K88" s="22">
        <f>'1. Показатели'!AA467</f>
        <v>4</v>
      </c>
      <c r="L88" s="22">
        <f>'1. Показатели'!AB467</f>
        <v>2</v>
      </c>
      <c r="M88" s="21">
        <f>'1. Показатели'!I467</f>
        <v>0.98581871345029237</v>
      </c>
      <c r="N88" s="22">
        <f>'2.ПП'!G255</f>
        <v>15</v>
      </c>
      <c r="O88" s="22">
        <f>'2.ПП'!H255</f>
        <v>14</v>
      </c>
      <c r="P88" s="22">
        <f>'2.ПП'!I255</f>
        <v>1</v>
      </c>
      <c r="Q88" s="22">
        <f>'2.ПП'!J255</f>
        <v>0</v>
      </c>
      <c r="R88" s="21">
        <f t="shared" si="26"/>
        <v>0.96666666666666667</v>
      </c>
      <c r="S88" s="226">
        <f t="shared" si="27"/>
        <v>0.9700127401837928</v>
      </c>
      <c r="T88" s="21" t="str">
        <f t="shared" ref="T88:T91" si="30">IF(S88&gt;=97%,"Высокая",IF((S88&gt;=92%)*AND(S88&lt;97%),"Средняя",IF((S88&gt;=85%)*AND(S88&lt;92%),"Ниже среднего","Низкая")))</f>
        <v>Высокая</v>
      </c>
      <c r="V88" s="4">
        <f t="shared" si="28"/>
        <v>0.96666666666666667</v>
      </c>
      <c r="W88" s="126">
        <f t="shared" si="29"/>
        <v>2.3809523809523836E-2</v>
      </c>
    </row>
    <row r="89" spans="1:23" ht="48.75" hidden="1" customHeight="1" outlineLevel="1" x14ac:dyDescent="0.25">
      <c r="A89" s="484" t="s">
        <v>176</v>
      </c>
      <c r="B89" s="225" t="s">
        <v>1032</v>
      </c>
      <c r="C89" s="215">
        <f>'1. Показатели'!R475</f>
        <v>10</v>
      </c>
      <c r="D89" s="215">
        <f>'1. Показатели'!S475</f>
        <v>0</v>
      </c>
      <c r="E89" s="215">
        <f>'1. Показатели'!T475</f>
        <v>0</v>
      </c>
      <c r="F89" s="215">
        <f>'1. Показатели'!U475</f>
        <v>9</v>
      </c>
      <c r="G89" s="215">
        <f>'1. Показатели'!V475</f>
        <v>0</v>
      </c>
      <c r="H89" s="215">
        <f>'1. Показатели'!W475</f>
        <v>1</v>
      </c>
      <c r="I89" s="21">
        <f>'1. Показатели'!H475</f>
        <v>0.97037861915367485</v>
      </c>
      <c r="J89" s="22">
        <f>'1. Показатели'!Z475</f>
        <v>6</v>
      </c>
      <c r="K89" s="22">
        <f>'1. Показатели'!AA475</f>
        <v>1</v>
      </c>
      <c r="L89" s="22">
        <f>'1. Показатели'!AB475</f>
        <v>2</v>
      </c>
      <c r="M89" s="21">
        <f>'1. Показатели'!I475</f>
        <v>1.0298497707483127</v>
      </c>
      <c r="N89" s="22">
        <f>'2.ПП'!G258</f>
        <v>35</v>
      </c>
      <c r="O89" s="22">
        <f>'2.ПП'!H258</f>
        <v>33</v>
      </c>
      <c r="P89" s="22">
        <f>'2.ПП'!I258</f>
        <v>2</v>
      </c>
      <c r="Q89" s="22">
        <f>'2.ПП'!J258</f>
        <v>0</v>
      </c>
      <c r="R89" s="21">
        <f t="shared" si="26"/>
        <v>0.97142857142857142</v>
      </c>
      <c r="S89" s="226">
        <f t="shared" si="27"/>
        <v>0.9810610055080119</v>
      </c>
      <c r="T89" s="21" t="str">
        <f t="shared" si="30"/>
        <v>Высокая</v>
      </c>
      <c r="V89" s="4">
        <f t="shared" si="28"/>
        <v>0.97142857142857142</v>
      </c>
      <c r="W89" s="126">
        <f t="shared" si="29"/>
        <v>-1.0499522748965706E-3</v>
      </c>
    </row>
    <row r="90" spans="1:23" ht="48.75" hidden="1" customHeight="1" outlineLevel="1" x14ac:dyDescent="0.25">
      <c r="A90" s="484" t="s">
        <v>177</v>
      </c>
      <c r="B90" s="225" t="s">
        <v>1033</v>
      </c>
      <c r="C90" s="215">
        <f>'1. Показатели'!R476</f>
        <v>0</v>
      </c>
      <c r="D90" s="215">
        <f>'1. Показатели'!S476</f>
        <v>0</v>
      </c>
      <c r="E90" s="215">
        <f>'1. Показатели'!T476</f>
        <v>0</v>
      </c>
      <c r="F90" s="215">
        <f>'1. Показатели'!U476</f>
        <v>0</v>
      </c>
      <c r="G90" s="215">
        <f>'1. Показатели'!V476</f>
        <v>0</v>
      </c>
      <c r="H90" s="215">
        <f>'1. Показатели'!W476</f>
        <v>0</v>
      </c>
      <c r="I90" s="21">
        <f>'1. Показатели'!H486</f>
        <v>1</v>
      </c>
      <c r="J90" s="22">
        <f>'1. Показатели'!Z476</f>
        <v>0</v>
      </c>
      <c r="K90" s="22">
        <f>'1. Показатели'!AA476</f>
        <v>0</v>
      </c>
      <c r="L90" s="22">
        <f>'1. Показатели'!AB476</f>
        <v>0</v>
      </c>
      <c r="M90" s="21">
        <f>'1. Показатели'!I486</f>
        <v>1</v>
      </c>
      <c r="N90" s="22">
        <f>'2.ПП'!G262</f>
        <v>7</v>
      </c>
      <c r="O90" s="22">
        <f>'2.ПП'!H262</f>
        <v>6</v>
      </c>
      <c r="P90" s="22">
        <f>'2.ПП'!I262</f>
        <v>1</v>
      </c>
      <c r="Q90" s="22">
        <f>'2.ПП'!J262</f>
        <v>0</v>
      </c>
      <c r="R90" s="21">
        <f t="shared" ref="R90" si="31">(O90+0.5*P90)/N90</f>
        <v>0.9285714285714286</v>
      </c>
      <c r="S90" s="226">
        <f t="shared" ref="S90" si="32">I90*$I$8+(M90-3%)*$M$8+R90*$R$8</f>
        <v>0.96449999999999991</v>
      </c>
      <c r="T90" s="21" t="str">
        <f t="shared" ref="T90" si="33">IF(S90&gt;=97%,"Высокая",IF((S90&gt;=92%)*AND(S90&lt;97%),"Средняя",IF((S90&gt;=85%)*AND(S90&lt;92%),"Ниже среднего","Низкая")))</f>
        <v>Средняя</v>
      </c>
      <c r="W90" s="126"/>
    </row>
    <row r="91" spans="1:23" ht="34.5" hidden="1" customHeight="1" outlineLevel="1" x14ac:dyDescent="0.25">
      <c r="A91" s="484" t="s">
        <v>1878</v>
      </c>
      <c r="B91" s="224" t="s">
        <v>1034</v>
      </c>
      <c r="C91" s="215">
        <f>'1. Показатели'!R486</f>
        <v>4</v>
      </c>
      <c r="D91" s="215">
        <f>'1. Показатели'!S486</f>
        <v>0</v>
      </c>
      <c r="E91" s="215">
        <f>'1. Показатели'!T486</f>
        <v>0</v>
      </c>
      <c r="F91" s="215">
        <f>'1. Показатели'!U486</f>
        <v>4</v>
      </c>
      <c r="G91" s="215">
        <f>'1. Показатели'!V486</f>
        <v>0</v>
      </c>
      <c r="H91" s="215">
        <f>'1. Показатели'!W486</f>
        <v>0</v>
      </c>
      <c r="I91" s="21">
        <f>'1. Показатели'!H491</f>
        <v>0.89688622754491021</v>
      </c>
      <c r="J91" s="22">
        <f>'1. Показатели'!Z486</f>
        <v>0</v>
      </c>
      <c r="K91" s="22">
        <f>'1. Показатели'!AA486</f>
        <v>4</v>
      </c>
      <c r="L91" s="22">
        <f>'1. Показатели'!AB486</f>
        <v>0</v>
      </c>
      <c r="M91" s="21">
        <f>'1. Показатели'!I491</f>
        <v>1</v>
      </c>
      <c r="N91" s="22">
        <f>'2.ПП'!G263</f>
        <v>9</v>
      </c>
      <c r="O91" s="22">
        <f>'2.ПП'!H263</f>
        <v>9</v>
      </c>
      <c r="P91" s="22">
        <f>'2.ПП'!I263</f>
        <v>0</v>
      </c>
      <c r="Q91" s="22">
        <f>'2.ПП'!J263</f>
        <v>0</v>
      </c>
      <c r="R91" s="21">
        <f t="shared" si="26"/>
        <v>1</v>
      </c>
      <c r="S91" s="226">
        <f t="shared" si="27"/>
        <v>0.95856586826347301</v>
      </c>
      <c r="T91" s="21" t="str">
        <f t="shared" si="30"/>
        <v>Средняя</v>
      </c>
      <c r="V91" s="4">
        <f t="shared" si="28"/>
        <v>1</v>
      </c>
      <c r="W91" s="126">
        <f t="shared" si="29"/>
        <v>-0.10311377245508979</v>
      </c>
    </row>
    <row r="92" spans="1:23" x14ac:dyDescent="0.25">
      <c r="A92" s="1"/>
      <c r="B92" s="27"/>
      <c r="C92" s="27"/>
      <c r="D92" s="27"/>
      <c r="E92" s="27"/>
      <c r="F92" s="27"/>
      <c r="G92" s="27"/>
      <c r="H92" s="27"/>
      <c r="I92" s="2"/>
      <c r="J92" s="2"/>
      <c r="K92" s="2"/>
      <c r="L92" s="2"/>
      <c r="M92" s="2"/>
      <c r="N92" s="2"/>
      <c r="O92" s="2"/>
      <c r="P92" s="2"/>
      <c r="Q92" s="2"/>
      <c r="R92" s="2"/>
      <c r="S92" s="2"/>
      <c r="T92" s="2"/>
    </row>
    <row r="93" spans="1:23" x14ac:dyDescent="0.25">
      <c r="A93" s="28" t="s">
        <v>273</v>
      </c>
      <c r="B93" s="2"/>
      <c r="C93" s="2"/>
      <c r="D93" s="2"/>
      <c r="E93" s="2"/>
      <c r="F93" s="2"/>
      <c r="G93" s="2"/>
      <c r="H93" s="2"/>
      <c r="I93" s="2"/>
      <c r="J93" s="2"/>
      <c r="K93" s="2"/>
      <c r="L93" s="2"/>
      <c r="M93" s="2"/>
      <c r="N93" s="2"/>
      <c r="O93" s="2"/>
      <c r="P93" s="2"/>
      <c r="Q93" s="2"/>
      <c r="R93" s="2"/>
      <c r="S93" s="2"/>
      <c r="T93" s="2"/>
    </row>
  </sheetData>
  <mergeCells count="11">
    <mergeCell ref="J6:M6"/>
    <mergeCell ref="A3:T3"/>
    <mergeCell ref="A5:A7"/>
    <mergeCell ref="B5:B7"/>
    <mergeCell ref="C5:M5"/>
    <mergeCell ref="N5:R6"/>
    <mergeCell ref="S5:S7"/>
    <mergeCell ref="T5:T7"/>
    <mergeCell ref="C6:C7"/>
    <mergeCell ref="D6:D7"/>
    <mergeCell ref="E6:I6"/>
  </mergeCells>
  <phoneticPr fontId="71" type="noConversion"/>
  <conditionalFormatting sqref="T82:T85 T23:T41 T67:T77 T43:T53">
    <cfRule type="colorScale" priority="4">
      <colorScale>
        <cfvo type="min"/>
        <cfvo type="percentile" val="50"/>
        <cfvo type="max"/>
        <color rgb="FFF8696B"/>
        <color rgb="FFFFEB84"/>
        <color rgb="FF63BE7B"/>
      </colorScale>
    </cfRule>
  </conditionalFormatting>
  <conditionalFormatting sqref="R42:T42">
    <cfRule type="colorScale" priority="1">
      <colorScale>
        <cfvo type="min"/>
        <cfvo type="percentile" val="50"/>
        <cfvo type="max"/>
        <color rgb="FFF8696B"/>
        <color rgb="FFFFEB84"/>
        <color rgb="FF63BE7B"/>
      </colorScale>
    </cfRule>
  </conditionalFormatting>
  <pageMargins left="0.27559055118110237" right="0.23622047244094491" top="0.54" bottom="0.37" header="0.27" footer="0.31496062992125984"/>
  <pageSetup paperSize="9" scale="18" fitToHeight="6" orientation="landscape" verticalDpi="180" r:id="rId1"/>
  <headerFooter differentFirst="1">
    <oddHeader>&amp;C&amp;"Times New Roman,обычный"&amp;8&amp;P</oddHeader>
  </headerFooter>
  <ignoredErrors>
    <ignoredError sqref="A43:A48 A23:A41" numberStoredAsText="1"/>
  </ignoredErrors>
  <drawing r:id="rId2"/>
  <legacyDrawing r:id="rId3"/>
  <oleObjects>
    <mc:AlternateContent xmlns:mc="http://schemas.openxmlformats.org/markup-compatibility/2006">
      <mc:Choice Requires="x14">
        <oleObject progId="Excel.Chart.8" shapeId="1025" r:id="rId4">
          <objectPr defaultSize="0" autoPict="0" r:id="rId5">
            <anchor moveWithCells="1" sizeWithCells="1">
              <from>
                <xdr:col>20</xdr:col>
                <xdr:colOff>0</xdr:colOff>
                <xdr:row>48</xdr:row>
                <xdr:rowOff>0</xdr:rowOff>
              </from>
              <to>
                <xdr:col>20</xdr:col>
                <xdr:colOff>0</xdr:colOff>
                <xdr:row>80</xdr:row>
                <xdr:rowOff>514350</xdr:rowOff>
              </to>
            </anchor>
          </objectPr>
        </oleObject>
      </mc:Choice>
      <mc:Fallback>
        <oleObject progId="Excel.Chart.8" shapeId="1025"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8"/>
  <sheetViews>
    <sheetView topLeftCell="A4" zoomScaleNormal="100" workbookViewId="0">
      <selection activeCell="B15" sqref="B15"/>
    </sheetView>
  </sheetViews>
  <sheetFormatPr defaultRowHeight="15" x14ac:dyDescent="0.25"/>
  <cols>
    <col min="1" max="1" width="4.5703125" style="29" customWidth="1"/>
    <col min="2" max="2" width="51.85546875" style="4" customWidth="1"/>
    <col min="3" max="7" width="11.140625" style="4" customWidth="1"/>
    <col min="8" max="228" width="9.140625" style="4"/>
    <col min="229" max="229" width="3.7109375" style="4" customWidth="1"/>
    <col min="230" max="230" width="41.140625" style="4" customWidth="1"/>
    <col min="231" max="231" width="4.7109375" style="4" customWidth="1"/>
    <col min="232" max="232" width="4.85546875" style="4" customWidth="1"/>
    <col min="233" max="233" width="7.140625" style="4" customWidth="1"/>
    <col min="234" max="234" width="6.7109375" style="4" customWidth="1"/>
    <col min="235" max="235" width="6.5703125" style="4" customWidth="1"/>
    <col min="236" max="236" width="6.42578125" style="4" customWidth="1"/>
    <col min="237" max="237" width="6" style="4" customWidth="1"/>
    <col min="238" max="238" width="7.7109375" style="4" customWidth="1"/>
    <col min="239" max="239" width="8" style="4" customWidth="1"/>
    <col min="240" max="240" width="7.140625" style="4" customWidth="1"/>
    <col min="241" max="241" width="6.5703125" style="4" customWidth="1"/>
    <col min="242" max="242" width="5.42578125" style="4" customWidth="1"/>
    <col min="243" max="243" width="4.140625" style="4" customWidth="1"/>
    <col min="244" max="244" width="5.85546875" style="4" customWidth="1"/>
    <col min="245" max="245" width="4.7109375" style="4" customWidth="1"/>
    <col min="246" max="246" width="7.42578125" style="4" customWidth="1"/>
    <col min="247" max="247" width="8.140625" style="4" customWidth="1"/>
    <col min="248" max="248" width="8.28515625" style="4" customWidth="1"/>
    <col min="249" max="484" width="9.140625" style="4"/>
    <col min="485" max="485" width="3.7109375" style="4" customWidth="1"/>
    <col min="486" max="486" width="41.140625" style="4" customWidth="1"/>
    <col min="487" max="487" width="4.7109375" style="4" customWidth="1"/>
    <col min="488" max="488" width="4.85546875" style="4" customWidth="1"/>
    <col min="489" max="489" width="7.140625" style="4" customWidth="1"/>
    <col min="490" max="490" width="6.7109375" style="4" customWidth="1"/>
    <col min="491" max="491" width="6.5703125" style="4" customWidth="1"/>
    <col min="492" max="492" width="6.42578125" style="4" customWidth="1"/>
    <col min="493" max="493" width="6" style="4" customWidth="1"/>
    <col min="494" max="494" width="7.7109375" style="4" customWidth="1"/>
    <col min="495" max="495" width="8" style="4" customWidth="1"/>
    <col min="496" max="496" width="7.140625" style="4" customWidth="1"/>
    <col min="497" max="497" width="6.5703125" style="4" customWidth="1"/>
    <col min="498" max="498" width="5.42578125" style="4" customWidth="1"/>
    <col min="499" max="499" width="4.140625" style="4" customWidth="1"/>
    <col min="500" max="500" width="5.85546875" style="4" customWidth="1"/>
    <col min="501" max="501" width="4.7109375" style="4" customWidth="1"/>
    <col min="502" max="502" width="7.42578125" style="4" customWidth="1"/>
    <col min="503" max="503" width="8.140625" style="4" customWidth="1"/>
    <col min="504" max="504" width="8.28515625" style="4" customWidth="1"/>
    <col min="505" max="740" width="9.140625" style="4"/>
    <col min="741" max="741" width="3.7109375" style="4" customWidth="1"/>
    <col min="742" max="742" width="41.140625" style="4" customWidth="1"/>
    <col min="743" max="743" width="4.7109375" style="4" customWidth="1"/>
    <col min="744" max="744" width="4.85546875" style="4" customWidth="1"/>
    <col min="745" max="745" width="7.140625" style="4" customWidth="1"/>
    <col min="746" max="746" width="6.7109375" style="4" customWidth="1"/>
    <col min="747" max="747" width="6.5703125" style="4" customWidth="1"/>
    <col min="748" max="748" width="6.42578125" style="4" customWidth="1"/>
    <col min="749" max="749" width="6" style="4" customWidth="1"/>
    <col min="750" max="750" width="7.7109375" style="4" customWidth="1"/>
    <col min="751" max="751" width="8" style="4" customWidth="1"/>
    <col min="752" max="752" width="7.140625" style="4" customWidth="1"/>
    <col min="753" max="753" width="6.5703125" style="4" customWidth="1"/>
    <col min="754" max="754" width="5.42578125" style="4" customWidth="1"/>
    <col min="755" max="755" width="4.140625" style="4" customWidth="1"/>
    <col min="756" max="756" width="5.85546875" style="4" customWidth="1"/>
    <col min="757" max="757" width="4.7109375" style="4" customWidth="1"/>
    <col min="758" max="758" width="7.42578125" style="4" customWidth="1"/>
    <col min="759" max="759" width="8.140625" style="4" customWidth="1"/>
    <col min="760" max="760" width="8.28515625" style="4" customWidth="1"/>
    <col min="761" max="996" width="9.140625" style="4"/>
    <col min="997" max="997" width="3.7109375" style="4" customWidth="1"/>
    <col min="998" max="998" width="41.140625" style="4" customWidth="1"/>
    <col min="999" max="999" width="4.7109375" style="4" customWidth="1"/>
    <col min="1000" max="1000" width="4.85546875" style="4" customWidth="1"/>
    <col min="1001" max="1001" width="7.140625" style="4" customWidth="1"/>
    <col min="1002" max="1002" width="6.7109375" style="4" customWidth="1"/>
    <col min="1003" max="1003" width="6.5703125" style="4" customWidth="1"/>
    <col min="1004" max="1004" width="6.42578125" style="4" customWidth="1"/>
    <col min="1005" max="1005" width="6" style="4" customWidth="1"/>
    <col min="1006" max="1006" width="7.7109375" style="4" customWidth="1"/>
    <col min="1007" max="1007" width="8" style="4" customWidth="1"/>
    <col min="1008" max="1008" width="7.140625" style="4" customWidth="1"/>
    <col min="1009" max="1009" width="6.5703125" style="4" customWidth="1"/>
    <col min="1010" max="1010" width="5.42578125" style="4" customWidth="1"/>
    <col min="1011" max="1011" width="4.140625" style="4" customWidth="1"/>
    <col min="1012" max="1012" width="5.85546875" style="4" customWidth="1"/>
    <col min="1013" max="1013" width="4.7109375" style="4" customWidth="1"/>
    <col min="1014" max="1014" width="7.42578125" style="4" customWidth="1"/>
    <col min="1015" max="1015" width="8.140625" style="4" customWidth="1"/>
    <col min="1016" max="1016" width="8.28515625" style="4" customWidth="1"/>
    <col min="1017" max="1252" width="9.140625" style="4"/>
    <col min="1253" max="1253" width="3.7109375" style="4" customWidth="1"/>
    <col min="1254" max="1254" width="41.140625" style="4" customWidth="1"/>
    <col min="1255" max="1255" width="4.7109375" style="4" customWidth="1"/>
    <col min="1256" max="1256" width="4.85546875" style="4" customWidth="1"/>
    <col min="1257" max="1257" width="7.140625" style="4" customWidth="1"/>
    <col min="1258" max="1258" width="6.7109375" style="4" customWidth="1"/>
    <col min="1259" max="1259" width="6.5703125" style="4" customWidth="1"/>
    <col min="1260" max="1260" width="6.42578125" style="4" customWidth="1"/>
    <col min="1261" max="1261" width="6" style="4" customWidth="1"/>
    <col min="1262" max="1262" width="7.7109375" style="4" customWidth="1"/>
    <col min="1263" max="1263" width="8" style="4" customWidth="1"/>
    <col min="1264" max="1264" width="7.140625" style="4" customWidth="1"/>
    <col min="1265" max="1265" width="6.5703125" style="4" customWidth="1"/>
    <col min="1266" max="1266" width="5.42578125" style="4" customWidth="1"/>
    <col min="1267" max="1267" width="4.140625" style="4" customWidth="1"/>
    <col min="1268" max="1268" width="5.85546875" style="4" customWidth="1"/>
    <col min="1269" max="1269" width="4.7109375" style="4" customWidth="1"/>
    <col min="1270" max="1270" width="7.42578125" style="4" customWidth="1"/>
    <col min="1271" max="1271" width="8.140625" style="4" customWidth="1"/>
    <col min="1272" max="1272" width="8.28515625" style="4" customWidth="1"/>
    <col min="1273" max="1508" width="9.140625" style="4"/>
    <col min="1509" max="1509" width="3.7109375" style="4" customWidth="1"/>
    <col min="1510" max="1510" width="41.140625" style="4" customWidth="1"/>
    <col min="1511" max="1511" width="4.7109375" style="4" customWidth="1"/>
    <col min="1512" max="1512" width="4.85546875" style="4" customWidth="1"/>
    <col min="1513" max="1513" width="7.140625" style="4" customWidth="1"/>
    <col min="1514" max="1514" width="6.7109375" style="4" customWidth="1"/>
    <col min="1515" max="1515" width="6.5703125" style="4" customWidth="1"/>
    <col min="1516" max="1516" width="6.42578125" style="4" customWidth="1"/>
    <col min="1517" max="1517" width="6" style="4" customWidth="1"/>
    <col min="1518" max="1518" width="7.7109375" style="4" customWidth="1"/>
    <col min="1519" max="1519" width="8" style="4" customWidth="1"/>
    <col min="1520" max="1520" width="7.140625" style="4" customWidth="1"/>
    <col min="1521" max="1521" width="6.5703125" style="4" customWidth="1"/>
    <col min="1522" max="1522" width="5.42578125" style="4" customWidth="1"/>
    <col min="1523" max="1523" width="4.140625" style="4" customWidth="1"/>
    <col min="1524" max="1524" width="5.85546875" style="4" customWidth="1"/>
    <col min="1525" max="1525" width="4.7109375" style="4" customWidth="1"/>
    <col min="1526" max="1526" width="7.42578125" style="4" customWidth="1"/>
    <col min="1527" max="1527" width="8.140625" style="4" customWidth="1"/>
    <col min="1528" max="1528" width="8.28515625" style="4" customWidth="1"/>
    <col min="1529" max="1764" width="9.140625" style="4"/>
    <col min="1765" max="1765" width="3.7109375" style="4" customWidth="1"/>
    <col min="1766" max="1766" width="41.140625" style="4" customWidth="1"/>
    <col min="1767" max="1767" width="4.7109375" style="4" customWidth="1"/>
    <col min="1768" max="1768" width="4.85546875" style="4" customWidth="1"/>
    <col min="1769" max="1769" width="7.140625" style="4" customWidth="1"/>
    <col min="1770" max="1770" width="6.7109375" style="4" customWidth="1"/>
    <col min="1771" max="1771" width="6.5703125" style="4" customWidth="1"/>
    <col min="1772" max="1772" width="6.42578125" style="4" customWidth="1"/>
    <col min="1773" max="1773" width="6" style="4" customWidth="1"/>
    <col min="1774" max="1774" width="7.7109375" style="4" customWidth="1"/>
    <col min="1775" max="1775" width="8" style="4" customWidth="1"/>
    <col min="1776" max="1776" width="7.140625" style="4" customWidth="1"/>
    <col min="1777" max="1777" width="6.5703125" style="4" customWidth="1"/>
    <col min="1778" max="1778" width="5.42578125" style="4" customWidth="1"/>
    <col min="1779" max="1779" width="4.140625" style="4" customWidth="1"/>
    <col min="1780" max="1780" width="5.85546875" style="4" customWidth="1"/>
    <col min="1781" max="1781" width="4.7109375" style="4" customWidth="1"/>
    <col min="1782" max="1782" width="7.42578125" style="4" customWidth="1"/>
    <col min="1783" max="1783" width="8.140625" style="4" customWidth="1"/>
    <col min="1784" max="1784" width="8.28515625" style="4" customWidth="1"/>
    <col min="1785" max="2020" width="9.140625" style="4"/>
    <col min="2021" max="2021" width="3.7109375" style="4" customWidth="1"/>
    <col min="2022" max="2022" width="41.140625" style="4" customWidth="1"/>
    <col min="2023" max="2023" width="4.7109375" style="4" customWidth="1"/>
    <col min="2024" max="2024" width="4.85546875" style="4" customWidth="1"/>
    <col min="2025" max="2025" width="7.140625" style="4" customWidth="1"/>
    <col min="2026" max="2026" width="6.7109375" style="4" customWidth="1"/>
    <col min="2027" max="2027" width="6.5703125" style="4" customWidth="1"/>
    <col min="2028" max="2028" width="6.42578125" style="4" customWidth="1"/>
    <col min="2029" max="2029" width="6" style="4" customWidth="1"/>
    <col min="2030" max="2030" width="7.7109375" style="4" customWidth="1"/>
    <col min="2031" max="2031" width="8" style="4" customWidth="1"/>
    <col min="2032" max="2032" width="7.140625" style="4" customWidth="1"/>
    <col min="2033" max="2033" width="6.5703125" style="4" customWidth="1"/>
    <col min="2034" max="2034" width="5.42578125" style="4" customWidth="1"/>
    <col min="2035" max="2035" width="4.140625" style="4" customWidth="1"/>
    <col min="2036" max="2036" width="5.85546875" style="4" customWidth="1"/>
    <col min="2037" max="2037" width="4.7109375" style="4" customWidth="1"/>
    <col min="2038" max="2038" width="7.42578125" style="4" customWidth="1"/>
    <col min="2039" max="2039" width="8.140625" style="4" customWidth="1"/>
    <col min="2040" max="2040" width="8.28515625" style="4" customWidth="1"/>
    <col min="2041" max="2276" width="9.140625" style="4"/>
    <col min="2277" max="2277" width="3.7109375" style="4" customWidth="1"/>
    <col min="2278" max="2278" width="41.140625" style="4" customWidth="1"/>
    <col min="2279" max="2279" width="4.7109375" style="4" customWidth="1"/>
    <col min="2280" max="2280" width="4.85546875" style="4" customWidth="1"/>
    <col min="2281" max="2281" width="7.140625" style="4" customWidth="1"/>
    <col min="2282" max="2282" width="6.7109375" style="4" customWidth="1"/>
    <col min="2283" max="2283" width="6.5703125" style="4" customWidth="1"/>
    <col min="2284" max="2284" width="6.42578125" style="4" customWidth="1"/>
    <col min="2285" max="2285" width="6" style="4" customWidth="1"/>
    <col min="2286" max="2286" width="7.7109375" style="4" customWidth="1"/>
    <col min="2287" max="2287" width="8" style="4" customWidth="1"/>
    <col min="2288" max="2288" width="7.140625" style="4" customWidth="1"/>
    <col min="2289" max="2289" width="6.5703125" style="4" customWidth="1"/>
    <col min="2290" max="2290" width="5.42578125" style="4" customWidth="1"/>
    <col min="2291" max="2291" width="4.140625" style="4" customWidth="1"/>
    <col min="2292" max="2292" width="5.85546875" style="4" customWidth="1"/>
    <col min="2293" max="2293" width="4.7109375" style="4" customWidth="1"/>
    <col min="2294" max="2294" width="7.42578125" style="4" customWidth="1"/>
    <col min="2295" max="2295" width="8.140625" style="4" customWidth="1"/>
    <col min="2296" max="2296" width="8.28515625" style="4" customWidth="1"/>
    <col min="2297" max="2532" width="9.140625" style="4"/>
    <col min="2533" max="2533" width="3.7109375" style="4" customWidth="1"/>
    <col min="2534" max="2534" width="41.140625" style="4" customWidth="1"/>
    <col min="2535" max="2535" width="4.7109375" style="4" customWidth="1"/>
    <col min="2536" max="2536" width="4.85546875" style="4" customWidth="1"/>
    <col min="2537" max="2537" width="7.140625" style="4" customWidth="1"/>
    <col min="2538" max="2538" width="6.7109375" style="4" customWidth="1"/>
    <col min="2539" max="2539" width="6.5703125" style="4" customWidth="1"/>
    <col min="2540" max="2540" width="6.42578125" style="4" customWidth="1"/>
    <col min="2541" max="2541" width="6" style="4" customWidth="1"/>
    <col min="2542" max="2542" width="7.7109375" style="4" customWidth="1"/>
    <col min="2543" max="2543" width="8" style="4" customWidth="1"/>
    <col min="2544" max="2544" width="7.140625" style="4" customWidth="1"/>
    <col min="2545" max="2545" width="6.5703125" style="4" customWidth="1"/>
    <col min="2546" max="2546" width="5.42578125" style="4" customWidth="1"/>
    <col min="2547" max="2547" width="4.140625" style="4" customWidth="1"/>
    <col min="2548" max="2548" width="5.85546875" style="4" customWidth="1"/>
    <col min="2549" max="2549" width="4.7109375" style="4" customWidth="1"/>
    <col min="2550" max="2550" width="7.42578125" style="4" customWidth="1"/>
    <col min="2551" max="2551" width="8.140625" style="4" customWidth="1"/>
    <col min="2552" max="2552" width="8.28515625" style="4" customWidth="1"/>
    <col min="2553" max="2788" width="9.140625" style="4"/>
    <col min="2789" max="2789" width="3.7109375" style="4" customWidth="1"/>
    <col min="2790" max="2790" width="41.140625" style="4" customWidth="1"/>
    <col min="2791" max="2791" width="4.7109375" style="4" customWidth="1"/>
    <col min="2792" max="2792" width="4.85546875" style="4" customWidth="1"/>
    <col min="2793" max="2793" width="7.140625" style="4" customWidth="1"/>
    <col min="2794" max="2794" width="6.7109375" style="4" customWidth="1"/>
    <col min="2795" max="2795" width="6.5703125" style="4" customWidth="1"/>
    <col min="2796" max="2796" width="6.42578125" style="4" customWidth="1"/>
    <col min="2797" max="2797" width="6" style="4" customWidth="1"/>
    <col min="2798" max="2798" width="7.7109375" style="4" customWidth="1"/>
    <col min="2799" max="2799" width="8" style="4" customWidth="1"/>
    <col min="2800" max="2800" width="7.140625" style="4" customWidth="1"/>
    <col min="2801" max="2801" width="6.5703125" style="4" customWidth="1"/>
    <col min="2802" max="2802" width="5.42578125" style="4" customWidth="1"/>
    <col min="2803" max="2803" width="4.140625" style="4" customWidth="1"/>
    <col min="2804" max="2804" width="5.85546875" style="4" customWidth="1"/>
    <col min="2805" max="2805" width="4.7109375" style="4" customWidth="1"/>
    <col min="2806" max="2806" width="7.42578125" style="4" customWidth="1"/>
    <col min="2807" max="2807" width="8.140625" style="4" customWidth="1"/>
    <col min="2808" max="2808" width="8.28515625" style="4" customWidth="1"/>
    <col min="2809" max="3044" width="9.140625" style="4"/>
    <col min="3045" max="3045" width="3.7109375" style="4" customWidth="1"/>
    <col min="3046" max="3046" width="41.140625" style="4" customWidth="1"/>
    <col min="3047" max="3047" width="4.7109375" style="4" customWidth="1"/>
    <col min="3048" max="3048" width="4.85546875" style="4" customWidth="1"/>
    <col min="3049" max="3049" width="7.140625" style="4" customWidth="1"/>
    <col min="3050" max="3050" width="6.7109375" style="4" customWidth="1"/>
    <col min="3051" max="3051" width="6.5703125" style="4" customWidth="1"/>
    <col min="3052" max="3052" width="6.42578125" style="4" customWidth="1"/>
    <col min="3053" max="3053" width="6" style="4" customWidth="1"/>
    <col min="3054" max="3054" width="7.7109375" style="4" customWidth="1"/>
    <col min="3055" max="3055" width="8" style="4" customWidth="1"/>
    <col min="3056" max="3056" width="7.140625" style="4" customWidth="1"/>
    <col min="3057" max="3057" width="6.5703125" style="4" customWidth="1"/>
    <col min="3058" max="3058" width="5.42578125" style="4" customWidth="1"/>
    <col min="3059" max="3059" width="4.140625" style="4" customWidth="1"/>
    <col min="3060" max="3060" width="5.85546875" style="4" customWidth="1"/>
    <col min="3061" max="3061" width="4.7109375" style="4" customWidth="1"/>
    <col min="3062" max="3062" width="7.42578125" style="4" customWidth="1"/>
    <col min="3063" max="3063" width="8.140625" style="4" customWidth="1"/>
    <col min="3064" max="3064" width="8.28515625" style="4" customWidth="1"/>
    <col min="3065" max="3300" width="9.140625" style="4"/>
    <col min="3301" max="3301" width="3.7109375" style="4" customWidth="1"/>
    <col min="3302" max="3302" width="41.140625" style="4" customWidth="1"/>
    <col min="3303" max="3303" width="4.7109375" style="4" customWidth="1"/>
    <col min="3304" max="3304" width="4.85546875" style="4" customWidth="1"/>
    <col min="3305" max="3305" width="7.140625" style="4" customWidth="1"/>
    <col min="3306" max="3306" width="6.7109375" style="4" customWidth="1"/>
    <col min="3307" max="3307" width="6.5703125" style="4" customWidth="1"/>
    <col min="3308" max="3308" width="6.42578125" style="4" customWidth="1"/>
    <col min="3309" max="3309" width="6" style="4" customWidth="1"/>
    <col min="3310" max="3310" width="7.7109375" style="4" customWidth="1"/>
    <col min="3311" max="3311" width="8" style="4" customWidth="1"/>
    <col min="3312" max="3312" width="7.140625" style="4" customWidth="1"/>
    <col min="3313" max="3313" width="6.5703125" style="4" customWidth="1"/>
    <col min="3314" max="3314" width="5.42578125" style="4" customWidth="1"/>
    <col min="3315" max="3315" width="4.140625" style="4" customWidth="1"/>
    <col min="3316" max="3316" width="5.85546875" style="4" customWidth="1"/>
    <col min="3317" max="3317" width="4.7109375" style="4" customWidth="1"/>
    <col min="3318" max="3318" width="7.42578125" style="4" customWidth="1"/>
    <col min="3319" max="3319" width="8.140625" style="4" customWidth="1"/>
    <col min="3320" max="3320" width="8.28515625" style="4" customWidth="1"/>
    <col min="3321" max="3556" width="9.140625" style="4"/>
    <col min="3557" max="3557" width="3.7109375" style="4" customWidth="1"/>
    <col min="3558" max="3558" width="41.140625" style="4" customWidth="1"/>
    <col min="3559" max="3559" width="4.7109375" style="4" customWidth="1"/>
    <col min="3560" max="3560" width="4.85546875" style="4" customWidth="1"/>
    <col min="3561" max="3561" width="7.140625" style="4" customWidth="1"/>
    <col min="3562" max="3562" width="6.7109375" style="4" customWidth="1"/>
    <col min="3563" max="3563" width="6.5703125" style="4" customWidth="1"/>
    <col min="3564" max="3564" width="6.42578125" style="4" customWidth="1"/>
    <col min="3565" max="3565" width="6" style="4" customWidth="1"/>
    <col min="3566" max="3566" width="7.7109375" style="4" customWidth="1"/>
    <col min="3567" max="3567" width="8" style="4" customWidth="1"/>
    <col min="3568" max="3568" width="7.140625" style="4" customWidth="1"/>
    <col min="3569" max="3569" width="6.5703125" style="4" customWidth="1"/>
    <col min="3570" max="3570" width="5.42578125" style="4" customWidth="1"/>
    <col min="3571" max="3571" width="4.140625" style="4" customWidth="1"/>
    <col min="3572" max="3572" width="5.85546875" style="4" customWidth="1"/>
    <col min="3573" max="3573" width="4.7109375" style="4" customWidth="1"/>
    <col min="3574" max="3574" width="7.42578125" style="4" customWidth="1"/>
    <col min="3575" max="3575" width="8.140625" style="4" customWidth="1"/>
    <col min="3576" max="3576" width="8.28515625" style="4" customWidth="1"/>
    <col min="3577" max="3812" width="9.140625" style="4"/>
    <col min="3813" max="3813" width="3.7109375" style="4" customWidth="1"/>
    <col min="3814" max="3814" width="41.140625" style="4" customWidth="1"/>
    <col min="3815" max="3815" width="4.7109375" style="4" customWidth="1"/>
    <col min="3816" max="3816" width="4.85546875" style="4" customWidth="1"/>
    <col min="3817" max="3817" width="7.140625" style="4" customWidth="1"/>
    <col min="3818" max="3818" width="6.7109375" style="4" customWidth="1"/>
    <col min="3819" max="3819" width="6.5703125" style="4" customWidth="1"/>
    <col min="3820" max="3820" width="6.42578125" style="4" customWidth="1"/>
    <col min="3821" max="3821" width="6" style="4" customWidth="1"/>
    <col min="3822" max="3822" width="7.7109375" style="4" customWidth="1"/>
    <col min="3823" max="3823" width="8" style="4" customWidth="1"/>
    <col min="3824" max="3824" width="7.140625" style="4" customWidth="1"/>
    <col min="3825" max="3825" width="6.5703125" style="4" customWidth="1"/>
    <col min="3826" max="3826" width="5.42578125" style="4" customWidth="1"/>
    <col min="3827" max="3827" width="4.140625" style="4" customWidth="1"/>
    <col min="3828" max="3828" width="5.85546875" style="4" customWidth="1"/>
    <col min="3829" max="3829" width="4.7109375" style="4" customWidth="1"/>
    <col min="3830" max="3830" width="7.42578125" style="4" customWidth="1"/>
    <col min="3831" max="3831" width="8.140625" style="4" customWidth="1"/>
    <col min="3832" max="3832" width="8.28515625" style="4" customWidth="1"/>
    <col min="3833" max="4068" width="9.140625" style="4"/>
    <col min="4069" max="4069" width="3.7109375" style="4" customWidth="1"/>
    <col min="4070" max="4070" width="41.140625" style="4" customWidth="1"/>
    <col min="4071" max="4071" width="4.7109375" style="4" customWidth="1"/>
    <col min="4072" max="4072" width="4.85546875" style="4" customWidth="1"/>
    <col min="4073" max="4073" width="7.140625" style="4" customWidth="1"/>
    <col min="4074" max="4074" width="6.7109375" style="4" customWidth="1"/>
    <col min="4075" max="4075" width="6.5703125" style="4" customWidth="1"/>
    <col min="4076" max="4076" width="6.42578125" style="4" customWidth="1"/>
    <col min="4077" max="4077" width="6" style="4" customWidth="1"/>
    <col min="4078" max="4078" width="7.7109375" style="4" customWidth="1"/>
    <col min="4079" max="4079" width="8" style="4" customWidth="1"/>
    <col min="4080" max="4080" width="7.140625" style="4" customWidth="1"/>
    <col min="4081" max="4081" width="6.5703125" style="4" customWidth="1"/>
    <col min="4082" max="4082" width="5.42578125" style="4" customWidth="1"/>
    <col min="4083" max="4083" width="4.140625" style="4" customWidth="1"/>
    <col min="4084" max="4084" width="5.85546875" style="4" customWidth="1"/>
    <col min="4085" max="4085" width="4.7109375" style="4" customWidth="1"/>
    <col min="4086" max="4086" width="7.42578125" style="4" customWidth="1"/>
    <col min="4087" max="4087" width="8.140625" style="4" customWidth="1"/>
    <col min="4088" max="4088" width="8.28515625" style="4" customWidth="1"/>
    <col min="4089" max="4324" width="9.140625" style="4"/>
    <col min="4325" max="4325" width="3.7109375" style="4" customWidth="1"/>
    <col min="4326" max="4326" width="41.140625" style="4" customWidth="1"/>
    <col min="4327" max="4327" width="4.7109375" style="4" customWidth="1"/>
    <col min="4328" max="4328" width="4.85546875" style="4" customWidth="1"/>
    <col min="4329" max="4329" width="7.140625" style="4" customWidth="1"/>
    <col min="4330" max="4330" width="6.7109375" style="4" customWidth="1"/>
    <col min="4331" max="4331" width="6.5703125" style="4" customWidth="1"/>
    <col min="4332" max="4332" width="6.42578125" style="4" customWidth="1"/>
    <col min="4333" max="4333" width="6" style="4" customWidth="1"/>
    <col min="4334" max="4334" width="7.7109375" style="4" customWidth="1"/>
    <col min="4335" max="4335" width="8" style="4" customWidth="1"/>
    <col min="4336" max="4336" width="7.140625" style="4" customWidth="1"/>
    <col min="4337" max="4337" width="6.5703125" style="4" customWidth="1"/>
    <col min="4338" max="4338" width="5.42578125" style="4" customWidth="1"/>
    <col min="4339" max="4339" width="4.140625" style="4" customWidth="1"/>
    <col min="4340" max="4340" width="5.85546875" style="4" customWidth="1"/>
    <col min="4341" max="4341" width="4.7109375" style="4" customWidth="1"/>
    <col min="4342" max="4342" width="7.42578125" style="4" customWidth="1"/>
    <col min="4343" max="4343" width="8.140625" style="4" customWidth="1"/>
    <col min="4344" max="4344" width="8.28515625" style="4" customWidth="1"/>
    <col min="4345" max="4580" width="9.140625" style="4"/>
    <col min="4581" max="4581" width="3.7109375" style="4" customWidth="1"/>
    <col min="4582" max="4582" width="41.140625" style="4" customWidth="1"/>
    <col min="4583" max="4583" width="4.7109375" style="4" customWidth="1"/>
    <col min="4584" max="4584" width="4.85546875" style="4" customWidth="1"/>
    <col min="4585" max="4585" width="7.140625" style="4" customWidth="1"/>
    <col min="4586" max="4586" width="6.7109375" style="4" customWidth="1"/>
    <col min="4587" max="4587" width="6.5703125" style="4" customWidth="1"/>
    <col min="4588" max="4588" width="6.42578125" style="4" customWidth="1"/>
    <col min="4589" max="4589" width="6" style="4" customWidth="1"/>
    <col min="4590" max="4590" width="7.7109375" style="4" customWidth="1"/>
    <col min="4591" max="4591" width="8" style="4" customWidth="1"/>
    <col min="4592" max="4592" width="7.140625" style="4" customWidth="1"/>
    <col min="4593" max="4593" width="6.5703125" style="4" customWidth="1"/>
    <col min="4594" max="4594" width="5.42578125" style="4" customWidth="1"/>
    <col min="4595" max="4595" width="4.140625" style="4" customWidth="1"/>
    <col min="4596" max="4596" width="5.85546875" style="4" customWidth="1"/>
    <col min="4597" max="4597" width="4.7109375" style="4" customWidth="1"/>
    <col min="4598" max="4598" width="7.42578125" style="4" customWidth="1"/>
    <col min="4599" max="4599" width="8.140625" style="4" customWidth="1"/>
    <col min="4600" max="4600" width="8.28515625" style="4" customWidth="1"/>
    <col min="4601" max="4836" width="9.140625" style="4"/>
    <col min="4837" max="4837" width="3.7109375" style="4" customWidth="1"/>
    <col min="4838" max="4838" width="41.140625" style="4" customWidth="1"/>
    <col min="4839" max="4839" width="4.7109375" style="4" customWidth="1"/>
    <col min="4840" max="4840" width="4.85546875" style="4" customWidth="1"/>
    <col min="4841" max="4841" width="7.140625" style="4" customWidth="1"/>
    <col min="4842" max="4842" width="6.7109375" style="4" customWidth="1"/>
    <col min="4843" max="4843" width="6.5703125" style="4" customWidth="1"/>
    <col min="4844" max="4844" width="6.42578125" style="4" customWidth="1"/>
    <col min="4845" max="4845" width="6" style="4" customWidth="1"/>
    <col min="4846" max="4846" width="7.7109375" style="4" customWidth="1"/>
    <col min="4847" max="4847" width="8" style="4" customWidth="1"/>
    <col min="4848" max="4848" width="7.140625" style="4" customWidth="1"/>
    <col min="4849" max="4849" width="6.5703125" style="4" customWidth="1"/>
    <col min="4850" max="4850" width="5.42578125" style="4" customWidth="1"/>
    <col min="4851" max="4851" width="4.140625" style="4" customWidth="1"/>
    <col min="4852" max="4852" width="5.85546875" style="4" customWidth="1"/>
    <col min="4853" max="4853" width="4.7109375" style="4" customWidth="1"/>
    <col min="4854" max="4854" width="7.42578125" style="4" customWidth="1"/>
    <col min="4855" max="4855" width="8.140625" style="4" customWidth="1"/>
    <col min="4856" max="4856" width="8.28515625" style="4" customWidth="1"/>
    <col min="4857" max="5092" width="9.140625" style="4"/>
    <col min="5093" max="5093" width="3.7109375" style="4" customWidth="1"/>
    <col min="5094" max="5094" width="41.140625" style="4" customWidth="1"/>
    <col min="5095" max="5095" width="4.7109375" style="4" customWidth="1"/>
    <col min="5096" max="5096" width="4.85546875" style="4" customWidth="1"/>
    <col min="5097" max="5097" width="7.140625" style="4" customWidth="1"/>
    <col min="5098" max="5098" width="6.7109375" style="4" customWidth="1"/>
    <col min="5099" max="5099" width="6.5703125" style="4" customWidth="1"/>
    <col min="5100" max="5100" width="6.42578125" style="4" customWidth="1"/>
    <col min="5101" max="5101" width="6" style="4" customWidth="1"/>
    <col min="5102" max="5102" width="7.7109375" style="4" customWidth="1"/>
    <col min="5103" max="5103" width="8" style="4" customWidth="1"/>
    <col min="5104" max="5104" width="7.140625" style="4" customWidth="1"/>
    <col min="5105" max="5105" width="6.5703125" style="4" customWidth="1"/>
    <col min="5106" max="5106" width="5.42578125" style="4" customWidth="1"/>
    <col min="5107" max="5107" width="4.140625" style="4" customWidth="1"/>
    <col min="5108" max="5108" width="5.85546875" style="4" customWidth="1"/>
    <col min="5109" max="5109" width="4.7109375" style="4" customWidth="1"/>
    <col min="5110" max="5110" width="7.42578125" style="4" customWidth="1"/>
    <col min="5111" max="5111" width="8.140625" style="4" customWidth="1"/>
    <col min="5112" max="5112" width="8.28515625" style="4" customWidth="1"/>
    <col min="5113" max="5348" width="9.140625" style="4"/>
    <col min="5349" max="5349" width="3.7109375" style="4" customWidth="1"/>
    <col min="5350" max="5350" width="41.140625" style="4" customWidth="1"/>
    <col min="5351" max="5351" width="4.7109375" style="4" customWidth="1"/>
    <col min="5352" max="5352" width="4.85546875" style="4" customWidth="1"/>
    <col min="5353" max="5353" width="7.140625" style="4" customWidth="1"/>
    <col min="5354" max="5354" width="6.7109375" style="4" customWidth="1"/>
    <col min="5355" max="5355" width="6.5703125" style="4" customWidth="1"/>
    <col min="5356" max="5356" width="6.42578125" style="4" customWidth="1"/>
    <col min="5357" max="5357" width="6" style="4" customWidth="1"/>
    <col min="5358" max="5358" width="7.7109375" style="4" customWidth="1"/>
    <col min="5359" max="5359" width="8" style="4" customWidth="1"/>
    <col min="5360" max="5360" width="7.140625" style="4" customWidth="1"/>
    <col min="5361" max="5361" width="6.5703125" style="4" customWidth="1"/>
    <col min="5362" max="5362" width="5.42578125" style="4" customWidth="1"/>
    <col min="5363" max="5363" width="4.140625" style="4" customWidth="1"/>
    <col min="5364" max="5364" width="5.85546875" style="4" customWidth="1"/>
    <col min="5365" max="5365" width="4.7109375" style="4" customWidth="1"/>
    <col min="5366" max="5366" width="7.42578125" style="4" customWidth="1"/>
    <col min="5367" max="5367" width="8.140625" style="4" customWidth="1"/>
    <col min="5368" max="5368" width="8.28515625" style="4" customWidth="1"/>
    <col min="5369" max="5604" width="9.140625" style="4"/>
    <col min="5605" max="5605" width="3.7109375" style="4" customWidth="1"/>
    <col min="5606" max="5606" width="41.140625" style="4" customWidth="1"/>
    <col min="5607" max="5607" width="4.7109375" style="4" customWidth="1"/>
    <col min="5608" max="5608" width="4.85546875" style="4" customWidth="1"/>
    <col min="5609" max="5609" width="7.140625" style="4" customWidth="1"/>
    <col min="5610" max="5610" width="6.7109375" style="4" customWidth="1"/>
    <col min="5611" max="5611" width="6.5703125" style="4" customWidth="1"/>
    <col min="5612" max="5612" width="6.42578125" style="4" customWidth="1"/>
    <col min="5613" max="5613" width="6" style="4" customWidth="1"/>
    <col min="5614" max="5614" width="7.7109375" style="4" customWidth="1"/>
    <col min="5615" max="5615" width="8" style="4" customWidth="1"/>
    <col min="5616" max="5616" width="7.140625" style="4" customWidth="1"/>
    <col min="5617" max="5617" width="6.5703125" style="4" customWidth="1"/>
    <col min="5618" max="5618" width="5.42578125" style="4" customWidth="1"/>
    <col min="5619" max="5619" width="4.140625" style="4" customWidth="1"/>
    <col min="5620" max="5620" width="5.85546875" style="4" customWidth="1"/>
    <col min="5621" max="5621" width="4.7109375" style="4" customWidth="1"/>
    <col min="5622" max="5622" width="7.42578125" style="4" customWidth="1"/>
    <col min="5623" max="5623" width="8.140625" style="4" customWidth="1"/>
    <col min="5624" max="5624" width="8.28515625" style="4" customWidth="1"/>
    <col min="5625" max="5860" width="9.140625" style="4"/>
    <col min="5861" max="5861" width="3.7109375" style="4" customWidth="1"/>
    <col min="5862" max="5862" width="41.140625" style="4" customWidth="1"/>
    <col min="5863" max="5863" width="4.7109375" style="4" customWidth="1"/>
    <col min="5864" max="5864" width="4.85546875" style="4" customWidth="1"/>
    <col min="5865" max="5865" width="7.140625" style="4" customWidth="1"/>
    <col min="5866" max="5866" width="6.7109375" style="4" customWidth="1"/>
    <col min="5867" max="5867" width="6.5703125" style="4" customWidth="1"/>
    <col min="5868" max="5868" width="6.42578125" style="4" customWidth="1"/>
    <col min="5869" max="5869" width="6" style="4" customWidth="1"/>
    <col min="5870" max="5870" width="7.7109375" style="4" customWidth="1"/>
    <col min="5871" max="5871" width="8" style="4" customWidth="1"/>
    <col min="5872" max="5872" width="7.140625" style="4" customWidth="1"/>
    <col min="5873" max="5873" width="6.5703125" style="4" customWidth="1"/>
    <col min="5874" max="5874" width="5.42578125" style="4" customWidth="1"/>
    <col min="5875" max="5875" width="4.140625" style="4" customWidth="1"/>
    <col min="5876" max="5876" width="5.85546875" style="4" customWidth="1"/>
    <col min="5877" max="5877" width="4.7109375" style="4" customWidth="1"/>
    <col min="5878" max="5878" width="7.42578125" style="4" customWidth="1"/>
    <col min="5879" max="5879" width="8.140625" style="4" customWidth="1"/>
    <col min="5880" max="5880" width="8.28515625" style="4" customWidth="1"/>
    <col min="5881" max="6116" width="9.140625" style="4"/>
    <col min="6117" max="6117" width="3.7109375" style="4" customWidth="1"/>
    <col min="6118" max="6118" width="41.140625" style="4" customWidth="1"/>
    <col min="6119" max="6119" width="4.7109375" style="4" customWidth="1"/>
    <col min="6120" max="6120" width="4.85546875" style="4" customWidth="1"/>
    <col min="6121" max="6121" width="7.140625" style="4" customWidth="1"/>
    <col min="6122" max="6122" width="6.7109375" style="4" customWidth="1"/>
    <col min="6123" max="6123" width="6.5703125" style="4" customWidth="1"/>
    <col min="6124" max="6124" width="6.42578125" style="4" customWidth="1"/>
    <col min="6125" max="6125" width="6" style="4" customWidth="1"/>
    <col min="6126" max="6126" width="7.7109375" style="4" customWidth="1"/>
    <col min="6127" max="6127" width="8" style="4" customWidth="1"/>
    <col min="6128" max="6128" width="7.140625" style="4" customWidth="1"/>
    <col min="6129" max="6129" width="6.5703125" style="4" customWidth="1"/>
    <col min="6130" max="6130" width="5.42578125" style="4" customWidth="1"/>
    <col min="6131" max="6131" width="4.140625" style="4" customWidth="1"/>
    <col min="6132" max="6132" width="5.85546875" style="4" customWidth="1"/>
    <col min="6133" max="6133" width="4.7109375" style="4" customWidth="1"/>
    <col min="6134" max="6134" width="7.42578125" style="4" customWidth="1"/>
    <col min="6135" max="6135" width="8.140625" style="4" customWidth="1"/>
    <col min="6136" max="6136" width="8.28515625" style="4" customWidth="1"/>
    <col min="6137" max="6372" width="9.140625" style="4"/>
    <col min="6373" max="6373" width="3.7109375" style="4" customWidth="1"/>
    <col min="6374" max="6374" width="41.140625" style="4" customWidth="1"/>
    <col min="6375" max="6375" width="4.7109375" style="4" customWidth="1"/>
    <col min="6376" max="6376" width="4.85546875" style="4" customWidth="1"/>
    <col min="6377" max="6377" width="7.140625" style="4" customWidth="1"/>
    <col min="6378" max="6378" width="6.7109375" style="4" customWidth="1"/>
    <col min="6379" max="6379" width="6.5703125" style="4" customWidth="1"/>
    <col min="6380" max="6380" width="6.42578125" style="4" customWidth="1"/>
    <col min="6381" max="6381" width="6" style="4" customWidth="1"/>
    <col min="6382" max="6382" width="7.7109375" style="4" customWidth="1"/>
    <col min="6383" max="6383" width="8" style="4" customWidth="1"/>
    <col min="6384" max="6384" width="7.140625" style="4" customWidth="1"/>
    <col min="6385" max="6385" width="6.5703125" style="4" customWidth="1"/>
    <col min="6386" max="6386" width="5.42578125" style="4" customWidth="1"/>
    <col min="6387" max="6387" width="4.140625" style="4" customWidth="1"/>
    <col min="6388" max="6388" width="5.85546875" style="4" customWidth="1"/>
    <col min="6389" max="6389" width="4.7109375" style="4" customWidth="1"/>
    <col min="6390" max="6390" width="7.42578125" style="4" customWidth="1"/>
    <col min="6391" max="6391" width="8.140625" style="4" customWidth="1"/>
    <col min="6392" max="6392" width="8.28515625" style="4" customWidth="1"/>
    <col min="6393" max="6628" width="9.140625" style="4"/>
    <col min="6629" max="6629" width="3.7109375" style="4" customWidth="1"/>
    <col min="6630" max="6630" width="41.140625" style="4" customWidth="1"/>
    <col min="6631" max="6631" width="4.7109375" style="4" customWidth="1"/>
    <col min="6632" max="6632" width="4.85546875" style="4" customWidth="1"/>
    <col min="6633" max="6633" width="7.140625" style="4" customWidth="1"/>
    <col min="6634" max="6634" width="6.7109375" style="4" customWidth="1"/>
    <col min="6635" max="6635" width="6.5703125" style="4" customWidth="1"/>
    <col min="6636" max="6636" width="6.42578125" style="4" customWidth="1"/>
    <col min="6637" max="6637" width="6" style="4" customWidth="1"/>
    <col min="6638" max="6638" width="7.7109375" style="4" customWidth="1"/>
    <col min="6639" max="6639" width="8" style="4" customWidth="1"/>
    <col min="6640" max="6640" width="7.140625" style="4" customWidth="1"/>
    <col min="6641" max="6641" width="6.5703125" style="4" customWidth="1"/>
    <col min="6642" max="6642" width="5.42578125" style="4" customWidth="1"/>
    <col min="6643" max="6643" width="4.140625" style="4" customWidth="1"/>
    <col min="6644" max="6644" width="5.85546875" style="4" customWidth="1"/>
    <col min="6645" max="6645" width="4.7109375" style="4" customWidth="1"/>
    <col min="6646" max="6646" width="7.42578125" style="4" customWidth="1"/>
    <col min="6647" max="6647" width="8.140625" style="4" customWidth="1"/>
    <col min="6648" max="6648" width="8.28515625" style="4" customWidth="1"/>
    <col min="6649" max="6884" width="9.140625" style="4"/>
    <col min="6885" max="6885" width="3.7109375" style="4" customWidth="1"/>
    <col min="6886" max="6886" width="41.140625" style="4" customWidth="1"/>
    <col min="6887" max="6887" width="4.7109375" style="4" customWidth="1"/>
    <col min="6888" max="6888" width="4.85546875" style="4" customWidth="1"/>
    <col min="6889" max="6889" width="7.140625" style="4" customWidth="1"/>
    <col min="6890" max="6890" width="6.7109375" style="4" customWidth="1"/>
    <col min="6891" max="6891" width="6.5703125" style="4" customWidth="1"/>
    <col min="6892" max="6892" width="6.42578125" style="4" customWidth="1"/>
    <col min="6893" max="6893" width="6" style="4" customWidth="1"/>
    <col min="6894" max="6894" width="7.7109375" style="4" customWidth="1"/>
    <col min="6895" max="6895" width="8" style="4" customWidth="1"/>
    <col min="6896" max="6896" width="7.140625" style="4" customWidth="1"/>
    <col min="6897" max="6897" width="6.5703125" style="4" customWidth="1"/>
    <col min="6898" max="6898" width="5.42578125" style="4" customWidth="1"/>
    <col min="6899" max="6899" width="4.140625" style="4" customWidth="1"/>
    <col min="6900" max="6900" width="5.85546875" style="4" customWidth="1"/>
    <col min="6901" max="6901" width="4.7109375" style="4" customWidth="1"/>
    <col min="6902" max="6902" width="7.42578125" style="4" customWidth="1"/>
    <col min="6903" max="6903" width="8.140625" style="4" customWidth="1"/>
    <col min="6904" max="6904" width="8.28515625" style="4" customWidth="1"/>
    <col min="6905" max="7140" width="9.140625" style="4"/>
    <col min="7141" max="7141" width="3.7109375" style="4" customWidth="1"/>
    <col min="7142" max="7142" width="41.140625" style="4" customWidth="1"/>
    <col min="7143" max="7143" width="4.7109375" style="4" customWidth="1"/>
    <col min="7144" max="7144" width="4.85546875" style="4" customWidth="1"/>
    <col min="7145" max="7145" width="7.140625" style="4" customWidth="1"/>
    <col min="7146" max="7146" width="6.7109375" style="4" customWidth="1"/>
    <col min="7147" max="7147" width="6.5703125" style="4" customWidth="1"/>
    <col min="7148" max="7148" width="6.42578125" style="4" customWidth="1"/>
    <col min="7149" max="7149" width="6" style="4" customWidth="1"/>
    <col min="7150" max="7150" width="7.7109375" style="4" customWidth="1"/>
    <col min="7151" max="7151" width="8" style="4" customWidth="1"/>
    <col min="7152" max="7152" width="7.140625" style="4" customWidth="1"/>
    <col min="7153" max="7153" width="6.5703125" style="4" customWidth="1"/>
    <col min="7154" max="7154" width="5.42578125" style="4" customWidth="1"/>
    <col min="7155" max="7155" width="4.140625" style="4" customWidth="1"/>
    <col min="7156" max="7156" width="5.85546875" style="4" customWidth="1"/>
    <col min="7157" max="7157" width="4.7109375" style="4" customWidth="1"/>
    <col min="7158" max="7158" width="7.42578125" style="4" customWidth="1"/>
    <col min="7159" max="7159" width="8.140625" style="4" customWidth="1"/>
    <col min="7160" max="7160" width="8.28515625" style="4" customWidth="1"/>
    <col min="7161" max="7396" width="9.140625" style="4"/>
    <col min="7397" max="7397" width="3.7109375" style="4" customWidth="1"/>
    <col min="7398" max="7398" width="41.140625" style="4" customWidth="1"/>
    <col min="7399" max="7399" width="4.7109375" style="4" customWidth="1"/>
    <col min="7400" max="7400" width="4.85546875" style="4" customWidth="1"/>
    <col min="7401" max="7401" width="7.140625" style="4" customWidth="1"/>
    <col min="7402" max="7402" width="6.7109375" style="4" customWidth="1"/>
    <col min="7403" max="7403" width="6.5703125" style="4" customWidth="1"/>
    <col min="7404" max="7404" width="6.42578125" style="4" customWidth="1"/>
    <col min="7405" max="7405" width="6" style="4" customWidth="1"/>
    <col min="7406" max="7406" width="7.7109375" style="4" customWidth="1"/>
    <col min="7407" max="7407" width="8" style="4" customWidth="1"/>
    <col min="7408" max="7408" width="7.140625" style="4" customWidth="1"/>
    <col min="7409" max="7409" width="6.5703125" style="4" customWidth="1"/>
    <col min="7410" max="7410" width="5.42578125" style="4" customWidth="1"/>
    <col min="7411" max="7411" width="4.140625" style="4" customWidth="1"/>
    <col min="7412" max="7412" width="5.85546875" style="4" customWidth="1"/>
    <col min="7413" max="7413" width="4.7109375" style="4" customWidth="1"/>
    <col min="7414" max="7414" width="7.42578125" style="4" customWidth="1"/>
    <col min="7415" max="7415" width="8.140625" style="4" customWidth="1"/>
    <col min="7416" max="7416" width="8.28515625" style="4" customWidth="1"/>
    <col min="7417" max="7652" width="9.140625" style="4"/>
    <col min="7653" max="7653" width="3.7109375" style="4" customWidth="1"/>
    <col min="7654" max="7654" width="41.140625" style="4" customWidth="1"/>
    <col min="7655" max="7655" width="4.7109375" style="4" customWidth="1"/>
    <col min="7656" max="7656" width="4.85546875" style="4" customWidth="1"/>
    <col min="7657" max="7657" width="7.140625" style="4" customWidth="1"/>
    <col min="7658" max="7658" width="6.7109375" style="4" customWidth="1"/>
    <col min="7659" max="7659" width="6.5703125" style="4" customWidth="1"/>
    <col min="7660" max="7660" width="6.42578125" style="4" customWidth="1"/>
    <col min="7661" max="7661" width="6" style="4" customWidth="1"/>
    <col min="7662" max="7662" width="7.7109375" style="4" customWidth="1"/>
    <col min="7663" max="7663" width="8" style="4" customWidth="1"/>
    <col min="7664" max="7664" width="7.140625" style="4" customWidth="1"/>
    <col min="7665" max="7665" width="6.5703125" style="4" customWidth="1"/>
    <col min="7666" max="7666" width="5.42578125" style="4" customWidth="1"/>
    <col min="7667" max="7667" width="4.140625" style="4" customWidth="1"/>
    <col min="7668" max="7668" width="5.85546875" style="4" customWidth="1"/>
    <col min="7669" max="7669" width="4.7109375" style="4" customWidth="1"/>
    <col min="7670" max="7670" width="7.42578125" style="4" customWidth="1"/>
    <col min="7671" max="7671" width="8.140625" style="4" customWidth="1"/>
    <col min="7672" max="7672" width="8.28515625" style="4" customWidth="1"/>
    <col min="7673" max="7908" width="9.140625" style="4"/>
    <col min="7909" max="7909" width="3.7109375" style="4" customWidth="1"/>
    <col min="7910" max="7910" width="41.140625" style="4" customWidth="1"/>
    <col min="7911" max="7911" width="4.7109375" style="4" customWidth="1"/>
    <col min="7912" max="7912" width="4.85546875" style="4" customWidth="1"/>
    <col min="7913" max="7913" width="7.140625" style="4" customWidth="1"/>
    <col min="7914" max="7914" width="6.7109375" style="4" customWidth="1"/>
    <col min="7915" max="7915" width="6.5703125" style="4" customWidth="1"/>
    <col min="7916" max="7916" width="6.42578125" style="4" customWidth="1"/>
    <col min="7917" max="7917" width="6" style="4" customWidth="1"/>
    <col min="7918" max="7918" width="7.7109375" style="4" customWidth="1"/>
    <col min="7919" max="7919" width="8" style="4" customWidth="1"/>
    <col min="7920" max="7920" width="7.140625" style="4" customWidth="1"/>
    <col min="7921" max="7921" width="6.5703125" style="4" customWidth="1"/>
    <col min="7922" max="7922" width="5.42578125" style="4" customWidth="1"/>
    <col min="7923" max="7923" width="4.140625" style="4" customWidth="1"/>
    <col min="7924" max="7924" width="5.85546875" style="4" customWidth="1"/>
    <col min="7925" max="7925" width="4.7109375" style="4" customWidth="1"/>
    <col min="7926" max="7926" width="7.42578125" style="4" customWidth="1"/>
    <col min="7927" max="7927" width="8.140625" style="4" customWidth="1"/>
    <col min="7928" max="7928" width="8.28515625" style="4" customWidth="1"/>
    <col min="7929" max="8164" width="9.140625" style="4"/>
    <col min="8165" max="8165" width="3.7109375" style="4" customWidth="1"/>
    <col min="8166" max="8166" width="41.140625" style="4" customWidth="1"/>
    <col min="8167" max="8167" width="4.7109375" style="4" customWidth="1"/>
    <col min="8168" max="8168" width="4.85546875" style="4" customWidth="1"/>
    <col min="8169" max="8169" width="7.140625" style="4" customWidth="1"/>
    <col min="8170" max="8170" width="6.7109375" style="4" customWidth="1"/>
    <col min="8171" max="8171" width="6.5703125" style="4" customWidth="1"/>
    <col min="8172" max="8172" width="6.42578125" style="4" customWidth="1"/>
    <col min="8173" max="8173" width="6" style="4" customWidth="1"/>
    <col min="8174" max="8174" width="7.7109375" style="4" customWidth="1"/>
    <col min="8175" max="8175" width="8" style="4" customWidth="1"/>
    <col min="8176" max="8176" width="7.140625" style="4" customWidth="1"/>
    <col min="8177" max="8177" width="6.5703125" style="4" customWidth="1"/>
    <col min="8178" max="8178" width="5.42578125" style="4" customWidth="1"/>
    <col min="8179" max="8179" width="4.140625" style="4" customWidth="1"/>
    <col min="8180" max="8180" width="5.85546875" style="4" customWidth="1"/>
    <col min="8181" max="8181" width="4.7109375" style="4" customWidth="1"/>
    <col min="8182" max="8182" width="7.42578125" style="4" customWidth="1"/>
    <col min="8183" max="8183" width="8.140625" style="4" customWidth="1"/>
    <col min="8184" max="8184" width="8.28515625" style="4" customWidth="1"/>
    <col min="8185" max="8420" width="9.140625" style="4"/>
    <col min="8421" max="8421" width="3.7109375" style="4" customWidth="1"/>
    <col min="8422" max="8422" width="41.140625" style="4" customWidth="1"/>
    <col min="8423" max="8423" width="4.7109375" style="4" customWidth="1"/>
    <col min="8424" max="8424" width="4.85546875" style="4" customWidth="1"/>
    <col min="8425" max="8425" width="7.140625" style="4" customWidth="1"/>
    <col min="8426" max="8426" width="6.7109375" style="4" customWidth="1"/>
    <col min="8427" max="8427" width="6.5703125" style="4" customWidth="1"/>
    <col min="8428" max="8428" width="6.42578125" style="4" customWidth="1"/>
    <col min="8429" max="8429" width="6" style="4" customWidth="1"/>
    <col min="8430" max="8430" width="7.7109375" style="4" customWidth="1"/>
    <col min="8431" max="8431" width="8" style="4" customWidth="1"/>
    <col min="8432" max="8432" width="7.140625" style="4" customWidth="1"/>
    <col min="8433" max="8433" width="6.5703125" style="4" customWidth="1"/>
    <col min="8434" max="8434" width="5.42578125" style="4" customWidth="1"/>
    <col min="8435" max="8435" width="4.140625" style="4" customWidth="1"/>
    <col min="8436" max="8436" width="5.85546875" style="4" customWidth="1"/>
    <col min="8437" max="8437" width="4.7109375" style="4" customWidth="1"/>
    <col min="8438" max="8438" width="7.42578125" style="4" customWidth="1"/>
    <col min="8439" max="8439" width="8.140625" style="4" customWidth="1"/>
    <col min="8440" max="8440" width="8.28515625" style="4" customWidth="1"/>
    <col min="8441" max="8676" width="9.140625" style="4"/>
    <col min="8677" max="8677" width="3.7109375" style="4" customWidth="1"/>
    <col min="8678" max="8678" width="41.140625" style="4" customWidth="1"/>
    <col min="8679" max="8679" width="4.7109375" style="4" customWidth="1"/>
    <col min="8680" max="8680" width="4.85546875" style="4" customWidth="1"/>
    <col min="8681" max="8681" width="7.140625" style="4" customWidth="1"/>
    <col min="8682" max="8682" width="6.7109375" style="4" customWidth="1"/>
    <col min="8683" max="8683" width="6.5703125" style="4" customWidth="1"/>
    <col min="8684" max="8684" width="6.42578125" style="4" customWidth="1"/>
    <col min="8685" max="8685" width="6" style="4" customWidth="1"/>
    <col min="8686" max="8686" width="7.7109375" style="4" customWidth="1"/>
    <col min="8687" max="8687" width="8" style="4" customWidth="1"/>
    <col min="8688" max="8688" width="7.140625" style="4" customWidth="1"/>
    <col min="8689" max="8689" width="6.5703125" style="4" customWidth="1"/>
    <col min="8690" max="8690" width="5.42578125" style="4" customWidth="1"/>
    <col min="8691" max="8691" width="4.140625" style="4" customWidth="1"/>
    <col min="8692" max="8692" width="5.85546875" style="4" customWidth="1"/>
    <col min="8693" max="8693" width="4.7109375" style="4" customWidth="1"/>
    <col min="8694" max="8694" width="7.42578125" style="4" customWidth="1"/>
    <col min="8695" max="8695" width="8.140625" style="4" customWidth="1"/>
    <col min="8696" max="8696" width="8.28515625" style="4" customWidth="1"/>
    <col min="8697" max="8932" width="9.140625" style="4"/>
    <col min="8933" max="8933" width="3.7109375" style="4" customWidth="1"/>
    <col min="8934" max="8934" width="41.140625" style="4" customWidth="1"/>
    <col min="8935" max="8935" width="4.7109375" style="4" customWidth="1"/>
    <col min="8936" max="8936" width="4.85546875" style="4" customWidth="1"/>
    <col min="8937" max="8937" width="7.140625" style="4" customWidth="1"/>
    <col min="8938" max="8938" width="6.7109375" style="4" customWidth="1"/>
    <col min="8939" max="8939" width="6.5703125" style="4" customWidth="1"/>
    <col min="8940" max="8940" width="6.42578125" style="4" customWidth="1"/>
    <col min="8941" max="8941" width="6" style="4" customWidth="1"/>
    <col min="8942" max="8942" width="7.7109375" style="4" customWidth="1"/>
    <col min="8943" max="8943" width="8" style="4" customWidth="1"/>
    <col min="8944" max="8944" width="7.140625" style="4" customWidth="1"/>
    <col min="8945" max="8945" width="6.5703125" style="4" customWidth="1"/>
    <col min="8946" max="8946" width="5.42578125" style="4" customWidth="1"/>
    <col min="8947" max="8947" width="4.140625" style="4" customWidth="1"/>
    <col min="8948" max="8948" width="5.85546875" style="4" customWidth="1"/>
    <col min="8949" max="8949" width="4.7109375" style="4" customWidth="1"/>
    <col min="8950" max="8950" width="7.42578125" style="4" customWidth="1"/>
    <col min="8951" max="8951" width="8.140625" style="4" customWidth="1"/>
    <col min="8952" max="8952" width="8.28515625" style="4" customWidth="1"/>
    <col min="8953" max="9188" width="9.140625" style="4"/>
    <col min="9189" max="9189" width="3.7109375" style="4" customWidth="1"/>
    <col min="9190" max="9190" width="41.140625" style="4" customWidth="1"/>
    <col min="9191" max="9191" width="4.7109375" style="4" customWidth="1"/>
    <col min="9192" max="9192" width="4.85546875" style="4" customWidth="1"/>
    <col min="9193" max="9193" width="7.140625" style="4" customWidth="1"/>
    <col min="9194" max="9194" width="6.7109375" style="4" customWidth="1"/>
    <col min="9195" max="9195" width="6.5703125" style="4" customWidth="1"/>
    <col min="9196" max="9196" width="6.42578125" style="4" customWidth="1"/>
    <col min="9197" max="9197" width="6" style="4" customWidth="1"/>
    <col min="9198" max="9198" width="7.7109375" style="4" customWidth="1"/>
    <col min="9199" max="9199" width="8" style="4" customWidth="1"/>
    <col min="9200" max="9200" width="7.140625" style="4" customWidth="1"/>
    <col min="9201" max="9201" width="6.5703125" style="4" customWidth="1"/>
    <col min="9202" max="9202" width="5.42578125" style="4" customWidth="1"/>
    <col min="9203" max="9203" width="4.140625" style="4" customWidth="1"/>
    <col min="9204" max="9204" width="5.85546875" style="4" customWidth="1"/>
    <col min="9205" max="9205" width="4.7109375" style="4" customWidth="1"/>
    <col min="9206" max="9206" width="7.42578125" style="4" customWidth="1"/>
    <col min="9207" max="9207" width="8.140625" style="4" customWidth="1"/>
    <col min="9208" max="9208" width="8.28515625" style="4" customWidth="1"/>
    <col min="9209" max="9444" width="9.140625" style="4"/>
    <col min="9445" max="9445" width="3.7109375" style="4" customWidth="1"/>
    <col min="9446" max="9446" width="41.140625" style="4" customWidth="1"/>
    <col min="9447" max="9447" width="4.7109375" style="4" customWidth="1"/>
    <col min="9448" max="9448" width="4.85546875" style="4" customWidth="1"/>
    <col min="9449" max="9449" width="7.140625" style="4" customWidth="1"/>
    <col min="9450" max="9450" width="6.7109375" style="4" customWidth="1"/>
    <col min="9451" max="9451" width="6.5703125" style="4" customWidth="1"/>
    <col min="9452" max="9452" width="6.42578125" style="4" customWidth="1"/>
    <col min="9453" max="9453" width="6" style="4" customWidth="1"/>
    <col min="9454" max="9454" width="7.7109375" style="4" customWidth="1"/>
    <col min="9455" max="9455" width="8" style="4" customWidth="1"/>
    <col min="9456" max="9456" width="7.140625" style="4" customWidth="1"/>
    <col min="9457" max="9457" width="6.5703125" style="4" customWidth="1"/>
    <col min="9458" max="9458" width="5.42578125" style="4" customWidth="1"/>
    <col min="9459" max="9459" width="4.140625" style="4" customWidth="1"/>
    <col min="9460" max="9460" width="5.85546875" style="4" customWidth="1"/>
    <col min="9461" max="9461" width="4.7109375" style="4" customWidth="1"/>
    <col min="9462" max="9462" width="7.42578125" style="4" customWidth="1"/>
    <col min="9463" max="9463" width="8.140625" style="4" customWidth="1"/>
    <col min="9464" max="9464" width="8.28515625" style="4" customWidth="1"/>
    <col min="9465" max="9700" width="9.140625" style="4"/>
    <col min="9701" max="9701" width="3.7109375" style="4" customWidth="1"/>
    <col min="9702" max="9702" width="41.140625" style="4" customWidth="1"/>
    <col min="9703" max="9703" width="4.7109375" style="4" customWidth="1"/>
    <col min="9704" max="9704" width="4.85546875" style="4" customWidth="1"/>
    <col min="9705" max="9705" width="7.140625" style="4" customWidth="1"/>
    <col min="9706" max="9706" width="6.7109375" style="4" customWidth="1"/>
    <col min="9707" max="9707" width="6.5703125" style="4" customWidth="1"/>
    <col min="9708" max="9708" width="6.42578125" style="4" customWidth="1"/>
    <col min="9709" max="9709" width="6" style="4" customWidth="1"/>
    <col min="9710" max="9710" width="7.7109375" style="4" customWidth="1"/>
    <col min="9711" max="9711" width="8" style="4" customWidth="1"/>
    <col min="9712" max="9712" width="7.140625" style="4" customWidth="1"/>
    <col min="9713" max="9713" width="6.5703125" style="4" customWidth="1"/>
    <col min="9714" max="9714" width="5.42578125" style="4" customWidth="1"/>
    <col min="9715" max="9715" width="4.140625" style="4" customWidth="1"/>
    <col min="9716" max="9716" width="5.85546875" style="4" customWidth="1"/>
    <col min="9717" max="9717" width="4.7109375" style="4" customWidth="1"/>
    <col min="9718" max="9718" width="7.42578125" style="4" customWidth="1"/>
    <col min="9719" max="9719" width="8.140625" style="4" customWidth="1"/>
    <col min="9720" max="9720" width="8.28515625" style="4" customWidth="1"/>
    <col min="9721" max="9956" width="9.140625" style="4"/>
    <col min="9957" max="9957" width="3.7109375" style="4" customWidth="1"/>
    <col min="9958" max="9958" width="41.140625" style="4" customWidth="1"/>
    <col min="9959" max="9959" width="4.7109375" style="4" customWidth="1"/>
    <col min="9960" max="9960" width="4.85546875" style="4" customWidth="1"/>
    <col min="9961" max="9961" width="7.140625" style="4" customWidth="1"/>
    <col min="9962" max="9962" width="6.7109375" style="4" customWidth="1"/>
    <col min="9963" max="9963" width="6.5703125" style="4" customWidth="1"/>
    <col min="9964" max="9964" width="6.42578125" style="4" customWidth="1"/>
    <col min="9965" max="9965" width="6" style="4" customWidth="1"/>
    <col min="9966" max="9966" width="7.7109375" style="4" customWidth="1"/>
    <col min="9967" max="9967" width="8" style="4" customWidth="1"/>
    <col min="9968" max="9968" width="7.140625" style="4" customWidth="1"/>
    <col min="9969" max="9969" width="6.5703125" style="4" customWidth="1"/>
    <col min="9970" max="9970" width="5.42578125" style="4" customWidth="1"/>
    <col min="9971" max="9971" width="4.140625" style="4" customWidth="1"/>
    <col min="9972" max="9972" width="5.85546875" style="4" customWidth="1"/>
    <col min="9973" max="9973" width="4.7109375" style="4" customWidth="1"/>
    <col min="9974" max="9974" width="7.42578125" style="4" customWidth="1"/>
    <col min="9975" max="9975" width="8.140625" style="4" customWidth="1"/>
    <col min="9976" max="9976" width="8.28515625" style="4" customWidth="1"/>
    <col min="9977" max="10212" width="9.140625" style="4"/>
    <col min="10213" max="10213" width="3.7109375" style="4" customWidth="1"/>
    <col min="10214" max="10214" width="41.140625" style="4" customWidth="1"/>
    <col min="10215" max="10215" width="4.7109375" style="4" customWidth="1"/>
    <col min="10216" max="10216" width="4.85546875" style="4" customWidth="1"/>
    <col min="10217" max="10217" width="7.140625" style="4" customWidth="1"/>
    <col min="10218" max="10218" width="6.7109375" style="4" customWidth="1"/>
    <col min="10219" max="10219" width="6.5703125" style="4" customWidth="1"/>
    <col min="10220" max="10220" width="6.42578125" style="4" customWidth="1"/>
    <col min="10221" max="10221" width="6" style="4" customWidth="1"/>
    <col min="10222" max="10222" width="7.7109375" style="4" customWidth="1"/>
    <col min="10223" max="10223" width="8" style="4" customWidth="1"/>
    <col min="10224" max="10224" width="7.140625" style="4" customWidth="1"/>
    <col min="10225" max="10225" width="6.5703125" style="4" customWidth="1"/>
    <col min="10226" max="10226" width="5.42578125" style="4" customWidth="1"/>
    <col min="10227" max="10227" width="4.140625" style="4" customWidth="1"/>
    <col min="10228" max="10228" width="5.85546875" style="4" customWidth="1"/>
    <col min="10229" max="10229" width="4.7109375" style="4" customWidth="1"/>
    <col min="10230" max="10230" width="7.42578125" style="4" customWidth="1"/>
    <col min="10231" max="10231" width="8.140625" style="4" customWidth="1"/>
    <col min="10232" max="10232" width="8.28515625" style="4" customWidth="1"/>
    <col min="10233" max="10468" width="9.140625" style="4"/>
    <col min="10469" max="10469" width="3.7109375" style="4" customWidth="1"/>
    <col min="10470" max="10470" width="41.140625" style="4" customWidth="1"/>
    <col min="10471" max="10471" width="4.7109375" style="4" customWidth="1"/>
    <col min="10472" max="10472" width="4.85546875" style="4" customWidth="1"/>
    <col min="10473" max="10473" width="7.140625" style="4" customWidth="1"/>
    <col min="10474" max="10474" width="6.7109375" style="4" customWidth="1"/>
    <col min="10475" max="10475" width="6.5703125" style="4" customWidth="1"/>
    <col min="10476" max="10476" width="6.42578125" style="4" customWidth="1"/>
    <col min="10477" max="10477" width="6" style="4" customWidth="1"/>
    <col min="10478" max="10478" width="7.7109375" style="4" customWidth="1"/>
    <col min="10479" max="10479" width="8" style="4" customWidth="1"/>
    <col min="10480" max="10480" width="7.140625" style="4" customWidth="1"/>
    <col min="10481" max="10481" width="6.5703125" style="4" customWidth="1"/>
    <col min="10482" max="10482" width="5.42578125" style="4" customWidth="1"/>
    <col min="10483" max="10483" width="4.140625" style="4" customWidth="1"/>
    <col min="10484" max="10484" width="5.85546875" style="4" customWidth="1"/>
    <col min="10485" max="10485" width="4.7109375" style="4" customWidth="1"/>
    <col min="10486" max="10486" width="7.42578125" style="4" customWidth="1"/>
    <col min="10487" max="10487" width="8.140625" style="4" customWidth="1"/>
    <col min="10488" max="10488" width="8.28515625" style="4" customWidth="1"/>
    <col min="10489" max="10724" width="9.140625" style="4"/>
    <col min="10725" max="10725" width="3.7109375" style="4" customWidth="1"/>
    <col min="10726" max="10726" width="41.140625" style="4" customWidth="1"/>
    <col min="10727" max="10727" width="4.7109375" style="4" customWidth="1"/>
    <col min="10728" max="10728" width="4.85546875" style="4" customWidth="1"/>
    <col min="10729" max="10729" width="7.140625" style="4" customWidth="1"/>
    <col min="10730" max="10730" width="6.7109375" style="4" customWidth="1"/>
    <col min="10731" max="10731" width="6.5703125" style="4" customWidth="1"/>
    <col min="10732" max="10732" width="6.42578125" style="4" customWidth="1"/>
    <col min="10733" max="10733" width="6" style="4" customWidth="1"/>
    <col min="10734" max="10734" width="7.7109375" style="4" customWidth="1"/>
    <col min="10735" max="10735" width="8" style="4" customWidth="1"/>
    <col min="10736" max="10736" width="7.140625" style="4" customWidth="1"/>
    <col min="10737" max="10737" width="6.5703125" style="4" customWidth="1"/>
    <col min="10738" max="10738" width="5.42578125" style="4" customWidth="1"/>
    <col min="10739" max="10739" width="4.140625" style="4" customWidth="1"/>
    <col min="10740" max="10740" width="5.85546875" style="4" customWidth="1"/>
    <col min="10741" max="10741" width="4.7109375" style="4" customWidth="1"/>
    <col min="10742" max="10742" width="7.42578125" style="4" customWidth="1"/>
    <col min="10743" max="10743" width="8.140625" style="4" customWidth="1"/>
    <col min="10744" max="10744" width="8.28515625" style="4" customWidth="1"/>
    <col min="10745" max="10980" width="9.140625" style="4"/>
    <col min="10981" max="10981" width="3.7109375" style="4" customWidth="1"/>
    <col min="10982" max="10982" width="41.140625" style="4" customWidth="1"/>
    <col min="10983" max="10983" width="4.7109375" style="4" customWidth="1"/>
    <col min="10984" max="10984" width="4.85546875" style="4" customWidth="1"/>
    <col min="10985" max="10985" width="7.140625" style="4" customWidth="1"/>
    <col min="10986" max="10986" width="6.7109375" style="4" customWidth="1"/>
    <col min="10987" max="10987" width="6.5703125" style="4" customWidth="1"/>
    <col min="10988" max="10988" width="6.42578125" style="4" customWidth="1"/>
    <col min="10989" max="10989" width="6" style="4" customWidth="1"/>
    <col min="10990" max="10990" width="7.7109375" style="4" customWidth="1"/>
    <col min="10991" max="10991" width="8" style="4" customWidth="1"/>
    <col min="10992" max="10992" width="7.140625" style="4" customWidth="1"/>
    <col min="10993" max="10993" width="6.5703125" style="4" customWidth="1"/>
    <col min="10994" max="10994" width="5.42578125" style="4" customWidth="1"/>
    <col min="10995" max="10995" width="4.140625" style="4" customWidth="1"/>
    <col min="10996" max="10996" width="5.85546875" style="4" customWidth="1"/>
    <col min="10997" max="10997" width="4.7109375" style="4" customWidth="1"/>
    <col min="10998" max="10998" width="7.42578125" style="4" customWidth="1"/>
    <col min="10999" max="10999" width="8.140625" style="4" customWidth="1"/>
    <col min="11000" max="11000" width="8.28515625" style="4" customWidth="1"/>
    <col min="11001" max="11236" width="9.140625" style="4"/>
    <col min="11237" max="11237" width="3.7109375" style="4" customWidth="1"/>
    <col min="11238" max="11238" width="41.140625" style="4" customWidth="1"/>
    <col min="11239" max="11239" width="4.7109375" style="4" customWidth="1"/>
    <col min="11240" max="11240" width="4.85546875" style="4" customWidth="1"/>
    <col min="11241" max="11241" width="7.140625" style="4" customWidth="1"/>
    <col min="11242" max="11242" width="6.7109375" style="4" customWidth="1"/>
    <col min="11243" max="11243" width="6.5703125" style="4" customWidth="1"/>
    <col min="11244" max="11244" width="6.42578125" style="4" customWidth="1"/>
    <col min="11245" max="11245" width="6" style="4" customWidth="1"/>
    <col min="11246" max="11246" width="7.7109375" style="4" customWidth="1"/>
    <col min="11247" max="11247" width="8" style="4" customWidth="1"/>
    <col min="11248" max="11248" width="7.140625" style="4" customWidth="1"/>
    <col min="11249" max="11249" width="6.5703125" style="4" customWidth="1"/>
    <col min="11250" max="11250" width="5.42578125" style="4" customWidth="1"/>
    <col min="11251" max="11251" width="4.140625" style="4" customWidth="1"/>
    <col min="11252" max="11252" width="5.85546875" style="4" customWidth="1"/>
    <col min="11253" max="11253" width="4.7109375" style="4" customWidth="1"/>
    <col min="11254" max="11254" width="7.42578125" style="4" customWidth="1"/>
    <col min="11255" max="11255" width="8.140625" style="4" customWidth="1"/>
    <col min="11256" max="11256" width="8.28515625" style="4" customWidth="1"/>
    <col min="11257" max="11492" width="9.140625" style="4"/>
    <col min="11493" max="11493" width="3.7109375" style="4" customWidth="1"/>
    <col min="11494" max="11494" width="41.140625" style="4" customWidth="1"/>
    <col min="11495" max="11495" width="4.7109375" style="4" customWidth="1"/>
    <col min="11496" max="11496" width="4.85546875" style="4" customWidth="1"/>
    <col min="11497" max="11497" width="7.140625" style="4" customWidth="1"/>
    <col min="11498" max="11498" width="6.7109375" style="4" customWidth="1"/>
    <col min="11499" max="11499" width="6.5703125" style="4" customWidth="1"/>
    <col min="11500" max="11500" width="6.42578125" style="4" customWidth="1"/>
    <col min="11501" max="11501" width="6" style="4" customWidth="1"/>
    <col min="11502" max="11502" width="7.7109375" style="4" customWidth="1"/>
    <col min="11503" max="11503" width="8" style="4" customWidth="1"/>
    <col min="11504" max="11504" width="7.140625" style="4" customWidth="1"/>
    <col min="11505" max="11505" width="6.5703125" style="4" customWidth="1"/>
    <col min="11506" max="11506" width="5.42578125" style="4" customWidth="1"/>
    <col min="11507" max="11507" width="4.140625" style="4" customWidth="1"/>
    <col min="11508" max="11508" width="5.85546875" style="4" customWidth="1"/>
    <col min="11509" max="11509" width="4.7109375" style="4" customWidth="1"/>
    <col min="11510" max="11510" width="7.42578125" style="4" customWidth="1"/>
    <col min="11511" max="11511" width="8.140625" style="4" customWidth="1"/>
    <col min="11512" max="11512" width="8.28515625" style="4" customWidth="1"/>
    <col min="11513" max="11748" width="9.140625" style="4"/>
    <col min="11749" max="11749" width="3.7109375" style="4" customWidth="1"/>
    <col min="11750" max="11750" width="41.140625" style="4" customWidth="1"/>
    <col min="11751" max="11751" width="4.7109375" style="4" customWidth="1"/>
    <col min="11752" max="11752" width="4.85546875" style="4" customWidth="1"/>
    <col min="11753" max="11753" width="7.140625" style="4" customWidth="1"/>
    <col min="11754" max="11754" width="6.7109375" style="4" customWidth="1"/>
    <col min="11755" max="11755" width="6.5703125" style="4" customWidth="1"/>
    <col min="11756" max="11756" width="6.42578125" style="4" customWidth="1"/>
    <col min="11757" max="11757" width="6" style="4" customWidth="1"/>
    <col min="11758" max="11758" width="7.7109375" style="4" customWidth="1"/>
    <col min="11759" max="11759" width="8" style="4" customWidth="1"/>
    <col min="11760" max="11760" width="7.140625" style="4" customWidth="1"/>
    <col min="11761" max="11761" width="6.5703125" style="4" customWidth="1"/>
    <col min="11762" max="11762" width="5.42578125" style="4" customWidth="1"/>
    <col min="11763" max="11763" width="4.140625" style="4" customWidth="1"/>
    <col min="11764" max="11764" width="5.85546875" style="4" customWidth="1"/>
    <col min="11765" max="11765" width="4.7109375" style="4" customWidth="1"/>
    <col min="11766" max="11766" width="7.42578125" style="4" customWidth="1"/>
    <col min="11767" max="11767" width="8.140625" style="4" customWidth="1"/>
    <col min="11768" max="11768" width="8.28515625" style="4" customWidth="1"/>
    <col min="11769" max="12004" width="9.140625" style="4"/>
    <col min="12005" max="12005" width="3.7109375" style="4" customWidth="1"/>
    <col min="12006" max="12006" width="41.140625" style="4" customWidth="1"/>
    <col min="12007" max="12007" width="4.7109375" style="4" customWidth="1"/>
    <col min="12008" max="12008" width="4.85546875" style="4" customWidth="1"/>
    <col min="12009" max="12009" width="7.140625" style="4" customWidth="1"/>
    <col min="12010" max="12010" width="6.7109375" style="4" customWidth="1"/>
    <col min="12011" max="12011" width="6.5703125" style="4" customWidth="1"/>
    <col min="12012" max="12012" width="6.42578125" style="4" customWidth="1"/>
    <col min="12013" max="12013" width="6" style="4" customWidth="1"/>
    <col min="12014" max="12014" width="7.7109375" style="4" customWidth="1"/>
    <col min="12015" max="12015" width="8" style="4" customWidth="1"/>
    <col min="12016" max="12016" width="7.140625" style="4" customWidth="1"/>
    <col min="12017" max="12017" width="6.5703125" style="4" customWidth="1"/>
    <col min="12018" max="12018" width="5.42578125" style="4" customWidth="1"/>
    <col min="12019" max="12019" width="4.140625" style="4" customWidth="1"/>
    <col min="12020" max="12020" width="5.85546875" style="4" customWidth="1"/>
    <col min="12021" max="12021" width="4.7109375" style="4" customWidth="1"/>
    <col min="12022" max="12022" width="7.42578125" style="4" customWidth="1"/>
    <col min="12023" max="12023" width="8.140625" style="4" customWidth="1"/>
    <col min="12024" max="12024" width="8.28515625" style="4" customWidth="1"/>
    <col min="12025" max="12260" width="9.140625" style="4"/>
    <col min="12261" max="12261" width="3.7109375" style="4" customWidth="1"/>
    <col min="12262" max="12262" width="41.140625" style="4" customWidth="1"/>
    <col min="12263" max="12263" width="4.7109375" style="4" customWidth="1"/>
    <col min="12264" max="12264" width="4.85546875" style="4" customWidth="1"/>
    <col min="12265" max="12265" width="7.140625" style="4" customWidth="1"/>
    <col min="12266" max="12266" width="6.7109375" style="4" customWidth="1"/>
    <col min="12267" max="12267" width="6.5703125" style="4" customWidth="1"/>
    <col min="12268" max="12268" width="6.42578125" style="4" customWidth="1"/>
    <col min="12269" max="12269" width="6" style="4" customWidth="1"/>
    <col min="12270" max="12270" width="7.7109375" style="4" customWidth="1"/>
    <col min="12271" max="12271" width="8" style="4" customWidth="1"/>
    <col min="12272" max="12272" width="7.140625" style="4" customWidth="1"/>
    <col min="12273" max="12273" width="6.5703125" style="4" customWidth="1"/>
    <col min="12274" max="12274" width="5.42578125" style="4" customWidth="1"/>
    <col min="12275" max="12275" width="4.140625" style="4" customWidth="1"/>
    <col min="12276" max="12276" width="5.85546875" style="4" customWidth="1"/>
    <col min="12277" max="12277" width="4.7109375" style="4" customWidth="1"/>
    <col min="12278" max="12278" width="7.42578125" style="4" customWidth="1"/>
    <col min="12279" max="12279" width="8.140625" style="4" customWidth="1"/>
    <col min="12280" max="12280" width="8.28515625" style="4" customWidth="1"/>
    <col min="12281" max="12516" width="9.140625" style="4"/>
    <col min="12517" max="12517" width="3.7109375" style="4" customWidth="1"/>
    <col min="12518" max="12518" width="41.140625" style="4" customWidth="1"/>
    <col min="12519" max="12519" width="4.7109375" style="4" customWidth="1"/>
    <col min="12520" max="12520" width="4.85546875" style="4" customWidth="1"/>
    <col min="12521" max="12521" width="7.140625" style="4" customWidth="1"/>
    <col min="12522" max="12522" width="6.7109375" style="4" customWidth="1"/>
    <col min="12523" max="12523" width="6.5703125" style="4" customWidth="1"/>
    <col min="12524" max="12524" width="6.42578125" style="4" customWidth="1"/>
    <col min="12525" max="12525" width="6" style="4" customWidth="1"/>
    <col min="12526" max="12526" width="7.7109375" style="4" customWidth="1"/>
    <col min="12527" max="12527" width="8" style="4" customWidth="1"/>
    <col min="12528" max="12528" width="7.140625" style="4" customWidth="1"/>
    <col min="12529" max="12529" width="6.5703125" style="4" customWidth="1"/>
    <col min="12530" max="12530" width="5.42578125" style="4" customWidth="1"/>
    <col min="12531" max="12531" width="4.140625" style="4" customWidth="1"/>
    <col min="12532" max="12532" width="5.85546875" style="4" customWidth="1"/>
    <col min="12533" max="12533" width="4.7109375" style="4" customWidth="1"/>
    <col min="12534" max="12534" width="7.42578125" style="4" customWidth="1"/>
    <col min="12535" max="12535" width="8.140625" style="4" customWidth="1"/>
    <col min="12536" max="12536" width="8.28515625" style="4" customWidth="1"/>
    <col min="12537" max="12772" width="9.140625" style="4"/>
    <col min="12773" max="12773" width="3.7109375" style="4" customWidth="1"/>
    <col min="12774" max="12774" width="41.140625" style="4" customWidth="1"/>
    <col min="12775" max="12775" width="4.7109375" style="4" customWidth="1"/>
    <col min="12776" max="12776" width="4.85546875" style="4" customWidth="1"/>
    <col min="12777" max="12777" width="7.140625" style="4" customWidth="1"/>
    <col min="12778" max="12778" width="6.7109375" style="4" customWidth="1"/>
    <col min="12779" max="12779" width="6.5703125" style="4" customWidth="1"/>
    <col min="12780" max="12780" width="6.42578125" style="4" customWidth="1"/>
    <col min="12781" max="12781" width="6" style="4" customWidth="1"/>
    <col min="12782" max="12782" width="7.7109375" style="4" customWidth="1"/>
    <col min="12783" max="12783" width="8" style="4" customWidth="1"/>
    <col min="12784" max="12784" width="7.140625" style="4" customWidth="1"/>
    <col min="12785" max="12785" width="6.5703125" style="4" customWidth="1"/>
    <col min="12786" max="12786" width="5.42578125" style="4" customWidth="1"/>
    <col min="12787" max="12787" width="4.140625" style="4" customWidth="1"/>
    <col min="12788" max="12788" width="5.85546875" style="4" customWidth="1"/>
    <col min="12789" max="12789" width="4.7109375" style="4" customWidth="1"/>
    <col min="12790" max="12790" width="7.42578125" style="4" customWidth="1"/>
    <col min="12791" max="12791" width="8.140625" style="4" customWidth="1"/>
    <col min="12792" max="12792" width="8.28515625" style="4" customWidth="1"/>
    <col min="12793" max="13028" width="9.140625" style="4"/>
    <col min="13029" max="13029" width="3.7109375" style="4" customWidth="1"/>
    <col min="13030" max="13030" width="41.140625" style="4" customWidth="1"/>
    <col min="13031" max="13031" width="4.7109375" style="4" customWidth="1"/>
    <col min="13032" max="13032" width="4.85546875" style="4" customWidth="1"/>
    <col min="13033" max="13033" width="7.140625" style="4" customWidth="1"/>
    <col min="13034" max="13034" width="6.7109375" style="4" customWidth="1"/>
    <col min="13035" max="13035" width="6.5703125" style="4" customWidth="1"/>
    <col min="13036" max="13036" width="6.42578125" style="4" customWidth="1"/>
    <col min="13037" max="13037" width="6" style="4" customWidth="1"/>
    <col min="13038" max="13038" width="7.7109375" style="4" customWidth="1"/>
    <col min="13039" max="13039" width="8" style="4" customWidth="1"/>
    <col min="13040" max="13040" width="7.140625" style="4" customWidth="1"/>
    <col min="13041" max="13041" width="6.5703125" style="4" customWidth="1"/>
    <col min="13042" max="13042" width="5.42578125" style="4" customWidth="1"/>
    <col min="13043" max="13043" width="4.140625" style="4" customWidth="1"/>
    <col min="13044" max="13044" width="5.85546875" style="4" customWidth="1"/>
    <col min="13045" max="13045" width="4.7109375" style="4" customWidth="1"/>
    <col min="13046" max="13046" width="7.42578125" style="4" customWidth="1"/>
    <col min="13047" max="13047" width="8.140625" style="4" customWidth="1"/>
    <col min="13048" max="13048" width="8.28515625" style="4" customWidth="1"/>
    <col min="13049" max="13284" width="9.140625" style="4"/>
    <col min="13285" max="13285" width="3.7109375" style="4" customWidth="1"/>
    <col min="13286" max="13286" width="41.140625" style="4" customWidth="1"/>
    <col min="13287" max="13287" width="4.7109375" style="4" customWidth="1"/>
    <col min="13288" max="13288" width="4.85546875" style="4" customWidth="1"/>
    <col min="13289" max="13289" width="7.140625" style="4" customWidth="1"/>
    <col min="13290" max="13290" width="6.7109375" style="4" customWidth="1"/>
    <col min="13291" max="13291" width="6.5703125" style="4" customWidth="1"/>
    <col min="13292" max="13292" width="6.42578125" style="4" customWidth="1"/>
    <col min="13293" max="13293" width="6" style="4" customWidth="1"/>
    <col min="13294" max="13294" width="7.7109375" style="4" customWidth="1"/>
    <col min="13295" max="13295" width="8" style="4" customWidth="1"/>
    <col min="13296" max="13296" width="7.140625" style="4" customWidth="1"/>
    <col min="13297" max="13297" width="6.5703125" style="4" customWidth="1"/>
    <col min="13298" max="13298" width="5.42578125" style="4" customWidth="1"/>
    <col min="13299" max="13299" width="4.140625" style="4" customWidth="1"/>
    <col min="13300" max="13300" width="5.85546875" style="4" customWidth="1"/>
    <col min="13301" max="13301" width="4.7109375" style="4" customWidth="1"/>
    <col min="13302" max="13302" width="7.42578125" style="4" customWidth="1"/>
    <col min="13303" max="13303" width="8.140625" style="4" customWidth="1"/>
    <col min="13304" max="13304" width="8.28515625" style="4" customWidth="1"/>
    <col min="13305" max="13540" width="9.140625" style="4"/>
    <col min="13541" max="13541" width="3.7109375" style="4" customWidth="1"/>
    <col min="13542" max="13542" width="41.140625" style="4" customWidth="1"/>
    <col min="13543" max="13543" width="4.7109375" style="4" customWidth="1"/>
    <col min="13544" max="13544" width="4.85546875" style="4" customWidth="1"/>
    <col min="13545" max="13545" width="7.140625" style="4" customWidth="1"/>
    <col min="13546" max="13546" width="6.7109375" style="4" customWidth="1"/>
    <col min="13547" max="13547" width="6.5703125" style="4" customWidth="1"/>
    <col min="13548" max="13548" width="6.42578125" style="4" customWidth="1"/>
    <col min="13549" max="13549" width="6" style="4" customWidth="1"/>
    <col min="13550" max="13550" width="7.7109375" style="4" customWidth="1"/>
    <col min="13551" max="13551" width="8" style="4" customWidth="1"/>
    <col min="13552" max="13552" width="7.140625" style="4" customWidth="1"/>
    <col min="13553" max="13553" width="6.5703125" style="4" customWidth="1"/>
    <col min="13554" max="13554" width="5.42578125" style="4" customWidth="1"/>
    <col min="13555" max="13555" width="4.140625" style="4" customWidth="1"/>
    <col min="13556" max="13556" width="5.85546875" style="4" customWidth="1"/>
    <col min="13557" max="13557" width="4.7109375" style="4" customWidth="1"/>
    <col min="13558" max="13558" width="7.42578125" style="4" customWidth="1"/>
    <col min="13559" max="13559" width="8.140625" style="4" customWidth="1"/>
    <col min="13560" max="13560" width="8.28515625" style="4" customWidth="1"/>
    <col min="13561" max="13796" width="9.140625" style="4"/>
    <col min="13797" max="13797" width="3.7109375" style="4" customWidth="1"/>
    <col min="13798" max="13798" width="41.140625" style="4" customWidth="1"/>
    <col min="13799" max="13799" width="4.7109375" style="4" customWidth="1"/>
    <col min="13800" max="13800" width="4.85546875" style="4" customWidth="1"/>
    <col min="13801" max="13801" width="7.140625" style="4" customWidth="1"/>
    <col min="13802" max="13802" width="6.7109375" style="4" customWidth="1"/>
    <col min="13803" max="13803" width="6.5703125" style="4" customWidth="1"/>
    <col min="13804" max="13804" width="6.42578125" style="4" customWidth="1"/>
    <col min="13805" max="13805" width="6" style="4" customWidth="1"/>
    <col min="13806" max="13806" width="7.7109375" style="4" customWidth="1"/>
    <col min="13807" max="13807" width="8" style="4" customWidth="1"/>
    <col min="13808" max="13808" width="7.140625" style="4" customWidth="1"/>
    <col min="13809" max="13809" width="6.5703125" style="4" customWidth="1"/>
    <col min="13810" max="13810" width="5.42578125" style="4" customWidth="1"/>
    <col min="13811" max="13811" width="4.140625" style="4" customWidth="1"/>
    <col min="13812" max="13812" width="5.85546875" style="4" customWidth="1"/>
    <col min="13813" max="13813" width="4.7109375" style="4" customWidth="1"/>
    <col min="13814" max="13814" width="7.42578125" style="4" customWidth="1"/>
    <col min="13815" max="13815" width="8.140625" style="4" customWidth="1"/>
    <col min="13816" max="13816" width="8.28515625" style="4" customWidth="1"/>
    <col min="13817" max="14052" width="9.140625" style="4"/>
    <col min="14053" max="14053" width="3.7109375" style="4" customWidth="1"/>
    <col min="14054" max="14054" width="41.140625" style="4" customWidth="1"/>
    <col min="14055" max="14055" width="4.7109375" style="4" customWidth="1"/>
    <col min="14056" max="14056" width="4.85546875" style="4" customWidth="1"/>
    <col min="14057" max="14057" width="7.140625" style="4" customWidth="1"/>
    <col min="14058" max="14058" width="6.7109375" style="4" customWidth="1"/>
    <col min="14059" max="14059" width="6.5703125" style="4" customWidth="1"/>
    <col min="14060" max="14060" width="6.42578125" style="4" customWidth="1"/>
    <col min="14061" max="14061" width="6" style="4" customWidth="1"/>
    <col min="14062" max="14062" width="7.7109375" style="4" customWidth="1"/>
    <col min="14063" max="14063" width="8" style="4" customWidth="1"/>
    <col min="14064" max="14064" width="7.140625" style="4" customWidth="1"/>
    <col min="14065" max="14065" width="6.5703125" style="4" customWidth="1"/>
    <col min="14066" max="14066" width="5.42578125" style="4" customWidth="1"/>
    <col min="14067" max="14067" width="4.140625" style="4" customWidth="1"/>
    <col min="14068" max="14068" width="5.85546875" style="4" customWidth="1"/>
    <col min="14069" max="14069" width="4.7109375" style="4" customWidth="1"/>
    <col min="14070" max="14070" width="7.42578125" style="4" customWidth="1"/>
    <col min="14071" max="14071" width="8.140625" style="4" customWidth="1"/>
    <col min="14072" max="14072" width="8.28515625" style="4" customWidth="1"/>
    <col min="14073" max="14308" width="9.140625" style="4"/>
    <col min="14309" max="14309" width="3.7109375" style="4" customWidth="1"/>
    <col min="14310" max="14310" width="41.140625" style="4" customWidth="1"/>
    <col min="14311" max="14311" width="4.7109375" style="4" customWidth="1"/>
    <col min="14312" max="14312" width="4.85546875" style="4" customWidth="1"/>
    <col min="14313" max="14313" width="7.140625" style="4" customWidth="1"/>
    <col min="14314" max="14314" width="6.7109375" style="4" customWidth="1"/>
    <col min="14315" max="14315" width="6.5703125" style="4" customWidth="1"/>
    <col min="14316" max="14316" width="6.42578125" style="4" customWidth="1"/>
    <col min="14317" max="14317" width="6" style="4" customWidth="1"/>
    <col min="14318" max="14318" width="7.7109375" style="4" customWidth="1"/>
    <col min="14319" max="14319" width="8" style="4" customWidth="1"/>
    <col min="14320" max="14320" width="7.140625" style="4" customWidth="1"/>
    <col min="14321" max="14321" width="6.5703125" style="4" customWidth="1"/>
    <col min="14322" max="14322" width="5.42578125" style="4" customWidth="1"/>
    <col min="14323" max="14323" width="4.140625" style="4" customWidth="1"/>
    <col min="14324" max="14324" width="5.85546875" style="4" customWidth="1"/>
    <col min="14325" max="14325" width="4.7109375" style="4" customWidth="1"/>
    <col min="14326" max="14326" width="7.42578125" style="4" customWidth="1"/>
    <col min="14327" max="14327" width="8.140625" style="4" customWidth="1"/>
    <col min="14328" max="14328" width="8.28515625" style="4" customWidth="1"/>
    <col min="14329" max="14564" width="9.140625" style="4"/>
    <col min="14565" max="14565" width="3.7109375" style="4" customWidth="1"/>
    <col min="14566" max="14566" width="41.140625" style="4" customWidth="1"/>
    <col min="14567" max="14567" width="4.7109375" style="4" customWidth="1"/>
    <col min="14568" max="14568" width="4.85546875" style="4" customWidth="1"/>
    <col min="14569" max="14569" width="7.140625" style="4" customWidth="1"/>
    <col min="14570" max="14570" width="6.7109375" style="4" customWidth="1"/>
    <col min="14571" max="14571" width="6.5703125" style="4" customWidth="1"/>
    <col min="14572" max="14572" width="6.42578125" style="4" customWidth="1"/>
    <col min="14573" max="14573" width="6" style="4" customWidth="1"/>
    <col min="14574" max="14574" width="7.7109375" style="4" customWidth="1"/>
    <col min="14575" max="14575" width="8" style="4" customWidth="1"/>
    <col min="14576" max="14576" width="7.140625" style="4" customWidth="1"/>
    <col min="14577" max="14577" width="6.5703125" style="4" customWidth="1"/>
    <col min="14578" max="14578" width="5.42578125" style="4" customWidth="1"/>
    <col min="14579" max="14579" width="4.140625" style="4" customWidth="1"/>
    <col min="14580" max="14580" width="5.85546875" style="4" customWidth="1"/>
    <col min="14581" max="14581" width="4.7109375" style="4" customWidth="1"/>
    <col min="14582" max="14582" width="7.42578125" style="4" customWidth="1"/>
    <col min="14583" max="14583" width="8.140625" style="4" customWidth="1"/>
    <col min="14584" max="14584" width="8.28515625" style="4" customWidth="1"/>
    <col min="14585" max="14820" width="9.140625" style="4"/>
    <col min="14821" max="14821" width="3.7109375" style="4" customWidth="1"/>
    <col min="14822" max="14822" width="41.140625" style="4" customWidth="1"/>
    <col min="14823" max="14823" width="4.7109375" style="4" customWidth="1"/>
    <col min="14824" max="14824" width="4.85546875" style="4" customWidth="1"/>
    <col min="14825" max="14825" width="7.140625" style="4" customWidth="1"/>
    <col min="14826" max="14826" width="6.7109375" style="4" customWidth="1"/>
    <col min="14827" max="14827" width="6.5703125" style="4" customWidth="1"/>
    <col min="14828" max="14828" width="6.42578125" style="4" customWidth="1"/>
    <col min="14829" max="14829" width="6" style="4" customWidth="1"/>
    <col min="14830" max="14830" width="7.7109375" style="4" customWidth="1"/>
    <col min="14831" max="14831" width="8" style="4" customWidth="1"/>
    <col min="14832" max="14832" width="7.140625" style="4" customWidth="1"/>
    <col min="14833" max="14833" width="6.5703125" style="4" customWidth="1"/>
    <col min="14834" max="14834" width="5.42578125" style="4" customWidth="1"/>
    <col min="14835" max="14835" width="4.140625" style="4" customWidth="1"/>
    <col min="14836" max="14836" width="5.85546875" style="4" customWidth="1"/>
    <col min="14837" max="14837" width="4.7109375" style="4" customWidth="1"/>
    <col min="14838" max="14838" width="7.42578125" style="4" customWidth="1"/>
    <col min="14839" max="14839" width="8.140625" style="4" customWidth="1"/>
    <col min="14840" max="14840" width="8.28515625" style="4" customWidth="1"/>
    <col min="14841" max="15076" width="9.140625" style="4"/>
    <col min="15077" max="15077" width="3.7109375" style="4" customWidth="1"/>
    <col min="15078" max="15078" width="41.140625" style="4" customWidth="1"/>
    <col min="15079" max="15079" width="4.7109375" style="4" customWidth="1"/>
    <col min="15080" max="15080" width="4.85546875" style="4" customWidth="1"/>
    <col min="15081" max="15081" width="7.140625" style="4" customWidth="1"/>
    <col min="15082" max="15082" width="6.7109375" style="4" customWidth="1"/>
    <col min="15083" max="15083" width="6.5703125" style="4" customWidth="1"/>
    <col min="15084" max="15084" width="6.42578125" style="4" customWidth="1"/>
    <col min="15085" max="15085" width="6" style="4" customWidth="1"/>
    <col min="15086" max="15086" width="7.7109375" style="4" customWidth="1"/>
    <col min="15087" max="15087" width="8" style="4" customWidth="1"/>
    <col min="15088" max="15088" width="7.140625" style="4" customWidth="1"/>
    <col min="15089" max="15089" width="6.5703125" style="4" customWidth="1"/>
    <col min="15090" max="15090" width="5.42578125" style="4" customWidth="1"/>
    <col min="15091" max="15091" width="4.140625" style="4" customWidth="1"/>
    <col min="15092" max="15092" width="5.85546875" style="4" customWidth="1"/>
    <col min="15093" max="15093" width="4.7109375" style="4" customWidth="1"/>
    <col min="15094" max="15094" width="7.42578125" style="4" customWidth="1"/>
    <col min="15095" max="15095" width="8.140625" style="4" customWidth="1"/>
    <col min="15096" max="15096" width="8.28515625" style="4" customWidth="1"/>
    <col min="15097" max="15332" width="9.140625" style="4"/>
    <col min="15333" max="15333" width="3.7109375" style="4" customWidth="1"/>
    <col min="15334" max="15334" width="41.140625" style="4" customWidth="1"/>
    <col min="15335" max="15335" width="4.7109375" style="4" customWidth="1"/>
    <col min="15336" max="15336" width="4.85546875" style="4" customWidth="1"/>
    <col min="15337" max="15337" width="7.140625" style="4" customWidth="1"/>
    <col min="15338" max="15338" width="6.7109375" style="4" customWidth="1"/>
    <col min="15339" max="15339" width="6.5703125" style="4" customWidth="1"/>
    <col min="15340" max="15340" width="6.42578125" style="4" customWidth="1"/>
    <col min="15341" max="15341" width="6" style="4" customWidth="1"/>
    <col min="15342" max="15342" width="7.7109375" style="4" customWidth="1"/>
    <col min="15343" max="15343" width="8" style="4" customWidth="1"/>
    <col min="15344" max="15344" width="7.140625" style="4" customWidth="1"/>
    <col min="15345" max="15345" width="6.5703125" style="4" customWidth="1"/>
    <col min="15346" max="15346" width="5.42578125" style="4" customWidth="1"/>
    <col min="15347" max="15347" width="4.140625" style="4" customWidth="1"/>
    <col min="15348" max="15348" width="5.85546875" style="4" customWidth="1"/>
    <col min="15349" max="15349" width="4.7109375" style="4" customWidth="1"/>
    <col min="15350" max="15350" width="7.42578125" style="4" customWidth="1"/>
    <col min="15351" max="15351" width="8.140625" style="4" customWidth="1"/>
    <col min="15352" max="15352" width="8.28515625" style="4" customWidth="1"/>
    <col min="15353" max="15588" width="9.140625" style="4"/>
    <col min="15589" max="15589" width="3.7109375" style="4" customWidth="1"/>
    <col min="15590" max="15590" width="41.140625" style="4" customWidth="1"/>
    <col min="15591" max="15591" width="4.7109375" style="4" customWidth="1"/>
    <col min="15592" max="15592" width="4.85546875" style="4" customWidth="1"/>
    <col min="15593" max="15593" width="7.140625" style="4" customWidth="1"/>
    <col min="15594" max="15594" width="6.7109375" style="4" customWidth="1"/>
    <col min="15595" max="15595" width="6.5703125" style="4" customWidth="1"/>
    <col min="15596" max="15596" width="6.42578125" style="4" customWidth="1"/>
    <col min="15597" max="15597" width="6" style="4" customWidth="1"/>
    <col min="15598" max="15598" width="7.7109375" style="4" customWidth="1"/>
    <col min="15599" max="15599" width="8" style="4" customWidth="1"/>
    <col min="15600" max="15600" width="7.140625" style="4" customWidth="1"/>
    <col min="15601" max="15601" width="6.5703125" style="4" customWidth="1"/>
    <col min="15602" max="15602" width="5.42578125" style="4" customWidth="1"/>
    <col min="15603" max="15603" width="4.140625" style="4" customWidth="1"/>
    <col min="15604" max="15604" width="5.85546875" style="4" customWidth="1"/>
    <col min="15605" max="15605" width="4.7109375" style="4" customWidth="1"/>
    <col min="15606" max="15606" width="7.42578125" style="4" customWidth="1"/>
    <col min="15607" max="15607" width="8.140625" style="4" customWidth="1"/>
    <col min="15608" max="15608" width="8.28515625" style="4" customWidth="1"/>
    <col min="15609" max="15844" width="9.140625" style="4"/>
    <col min="15845" max="15845" width="3.7109375" style="4" customWidth="1"/>
    <col min="15846" max="15846" width="41.140625" style="4" customWidth="1"/>
    <col min="15847" max="15847" width="4.7109375" style="4" customWidth="1"/>
    <col min="15848" max="15848" width="4.85546875" style="4" customWidth="1"/>
    <col min="15849" max="15849" width="7.140625" style="4" customWidth="1"/>
    <col min="15850" max="15850" width="6.7109375" style="4" customWidth="1"/>
    <col min="15851" max="15851" width="6.5703125" style="4" customWidth="1"/>
    <col min="15852" max="15852" width="6.42578125" style="4" customWidth="1"/>
    <col min="15853" max="15853" width="6" style="4" customWidth="1"/>
    <col min="15854" max="15854" width="7.7109375" style="4" customWidth="1"/>
    <col min="15855" max="15855" width="8" style="4" customWidth="1"/>
    <col min="15856" max="15856" width="7.140625" style="4" customWidth="1"/>
    <col min="15857" max="15857" width="6.5703125" style="4" customWidth="1"/>
    <col min="15858" max="15858" width="5.42578125" style="4" customWidth="1"/>
    <col min="15859" max="15859" width="4.140625" style="4" customWidth="1"/>
    <col min="15860" max="15860" width="5.85546875" style="4" customWidth="1"/>
    <col min="15861" max="15861" width="4.7109375" style="4" customWidth="1"/>
    <col min="15862" max="15862" width="7.42578125" style="4" customWidth="1"/>
    <col min="15863" max="15863" width="8.140625" style="4" customWidth="1"/>
    <col min="15864" max="15864" width="8.28515625" style="4" customWidth="1"/>
    <col min="15865" max="16100" width="9.140625" style="4"/>
    <col min="16101" max="16101" width="3.7109375" style="4" customWidth="1"/>
    <col min="16102" max="16102" width="41.140625" style="4" customWidth="1"/>
    <col min="16103" max="16103" width="4.7109375" style="4" customWidth="1"/>
    <col min="16104" max="16104" width="4.85546875" style="4" customWidth="1"/>
    <col min="16105" max="16105" width="7.140625" style="4" customWidth="1"/>
    <col min="16106" max="16106" width="6.7109375" style="4" customWidth="1"/>
    <col min="16107" max="16107" width="6.5703125" style="4" customWidth="1"/>
    <col min="16108" max="16108" width="6.42578125" style="4" customWidth="1"/>
    <col min="16109" max="16109" width="6" style="4" customWidth="1"/>
    <col min="16110" max="16110" width="7.7109375" style="4" customWidth="1"/>
    <col min="16111" max="16111" width="8" style="4" customWidth="1"/>
    <col min="16112" max="16112" width="7.140625" style="4" customWidth="1"/>
    <col min="16113" max="16113" width="6.5703125" style="4" customWidth="1"/>
    <col min="16114" max="16114" width="5.42578125" style="4" customWidth="1"/>
    <col min="16115" max="16115" width="4.140625" style="4" customWidth="1"/>
    <col min="16116" max="16116" width="5.85546875" style="4" customWidth="1"/>
    <col min="16117" max="16117" width="4.7109375" style="4" customWidth="1"/>
    <col min="16118" max="16118" width="7.42578125" style="4" customWidth="1"/>
    <col min="16119" max="16119" width="8.140625" style="4" customWidth="1"/>
    <col min="16120" max="16120" width="8.28515625" style="4" customWidth="1"/>
    <col min="16121" max="16384" width="9.140625" style="4"/>
  </cols>
  <sheetData>
    <row r="1" spans="1:7" x14ac:dyDescent="0.25">
      <c r="A1" s="1"/>
      <c r="B1" s="2"/>
      <c r="C1" s="2"/>
      <c r="D1" s="2"/>
      <c r="E1" s="2"/>
      <c r="F1" s="2"/>
      <c r="G1" s="3" t="s">
        <v>678</v>
      </c>
    </row>
    <row r="2" spans="1:7" x14ac:dyDescent="0.25">
      <c r="A2" s="1"/>
      <c r="B2" s="2"/>
      <c r="C2" s="2"/>
      <c r="D2" s="2"/>
      <c r="E2" s="2"/>
      <c r="F2" s="2"/>
      <c r="G2" s="2"/>
    </row>
    <row r="3" spans="1:7" x14ac:dyDescent="0.25">
      <c r="A3" s="1096" t="s">
        <v>1114</v>
      </c>
      <c r="B3" s="1096"/>
      <c r="C3" s="1096"/>
      <c r="D3" s="1096"/>
      <c r="E3" s="1096"/>
      <c r="F3" s="1096"/>
      <c r="G3" s="1096"/>
    </row>
    <row r="4" spans="1:7" x14ac:dyDescent="0.25">
      <c r="A4" s="5"/>
      <c r="B4" s="5"/>
      <c r="C4" s="5"/>
      <c r="D4" s="5"/>
      <c r="E4" s="5"/>
      <c r="F4" s="5"/>
      <c r="G4" s="5"/>
    </row>
    <row r="5" spans="1:7" ht="58.5" customHeight="1" x14ac:dyDescent="0.25">
      <c r="A5" s="417" t="s">
        <v>34</v>
      </c>
      <c r="B5" s="417" t="s">
        <v>242</v>
      </c>
      <c r="C5" s="418" t="s">
        <v>1265</v>
      </c>
      <c r="D5" s="417" t="s">
        <v>1266</v>
      </c>
      <c r="E5" s="418" t="s">
        <v>1267</v>
      </c>
      <c r="F5" s="417" t="s">
        <v>1268</v>
      </c>
      <c r="G5" s="417" t="s">
        <v>1269</v>
      </c>
    </row>
    <row r="6" spans="1:7" ht="36" customHeight="1" x14ac:dyDescent="0.25">
      <c r="A6" s="375"/>
      <c r="B6" s="376" t="s">
        <v>3</v>
      </c>
      <c r="C6" s="30">
        <v>0.95177503027888144</v>
      </c>
      <c r="D6" s="18">
        <v>1.0332410859191148</v>
      </c>
      <c r="E6" s="24">
        <v>0.84011874469889736</v>
      </c>
      <c r="F6" s="125">
        <v>0.93070844979996858</v>
      </c>
      <c r="G6" s="125" t="s">
        <v>1261</v>
      </c>
    </row>
    <row r="7" spans="1:7" ht="30.75" customHeight="1" x14ac:dyDescent="0.25">
      <c r="A7" s="373">
        <v>1</v>
      </c>
      <c r="B7" s="197" t="s">
        <v>1070</v>
      </c>
      <c r="C7" s="18">
        <v>0.99509803921568618</v>
      </c>
      <c r="D7" s="18">
        <v>1.1694938820912124</v>
      </c>
      <c r="E7" s="19">
        <v>0.88805970149253732</v>
      </c>
      <c r="F7" s="25">
        <v>1.0081731660190183</v>
      </c>
      <c r="G7" s="374" t="s">
        <v>1264</v>
      </c>
    </row>
    <row r="8" spans="1:7" s="16" customFormat="1" ht="30.75" customHeight="1" x14ac:dyDescent="0.25">
      <c r="A8" s="373">
        <v>2</v>
      </c>
      <c r="B8" s="197" t="s">
        <v>1071</v>
      </c>
      <c r="C8" s="18">
        <v>1</v>
      </c>
      <c r="D8" s="18">
        <v>1.0709806202940646</v>
      </c>
      <c r="E8" s="19">
        <v>0.890625</v>
      </c>
      <c r="F8" s="25">
        <v>0.97606196710292248</v>
      </c>
      <c r="G8" s="374" t="s">
        <v>1264</v>
      </c>
    </row>
    <row r="9" spans="1:7" ht="30.75" customHeight="1" collapsed="1" x14ac:dyDescent="0.25">
      <c r="A9" s="373">
        <v>3</v>
      </c>
      <c r="B9" s="197" t="s">
        <v>1096</v>
      </c>
      <c r="C9" s="18">
        <v>0.98769230769230776</v>
      </c>
      <c r="D9" s="18">
        <v>1.0015648218109703</v>
      </c>
      <c r="E9" s="30">
        <v>0.95238095238095233</v>
      </c>
      <c r="F9" s="125">
        <v>0.96968871327486528</v>
      </c>
      <c r="G9" s="124" t="s">
        <v>1261</v>
      </c>
    </row>
    <row r="10" spans="1:7" ht="30.75" customHeight="1" x14ac:dyDescent="0.25">
      <c r="A10" s="373">
        <v>4</v>
      </c>
      <c r="B10" s="197" t="s">
        <v>1066</v>
      </c>
      <c r="C10" s="30">
        <v>0.96927466338447144</v>
      </c>
      <c r="D10" s="18">
        <v>1.0962192963021524</v>
      </c>
      <c r="E10" s="19">
        <v>0.86440677966101698</v>
      </c>
      <c r="F10" s="125">
        <v>0.96650152560245073</v>
      </c>
      <c r="G10" s="124" t="s">
        <v>1261</v>
      </c>
    </row>
    <row r="11" spans="1:7" ht="30.75" customHeight="1" x14ac:dyDescent="0.25">
      <c r="A11" s="373">
        <v>5</v>
      </c>
      <c r="B11" s="197" t="s">
        <v>1065</v>
      </c>
      <c r="C11" s="18">
        <v>0.97065157065157071</v>
      </c>
      <c r="D11" s="18">
        <v>1.0530191385452066</v>
      </c>
      <c r="E11" s="19">
        <v>0.89754098360655743</v>
      </c>
      <c r="F11" s="125">
        <v>0.96339151394858846</v>
      </c>
      <c r="G11" s="125" t="s">
        <v>1261</v>
      </c>
    </row>
    <row r="12" spans="1:7" ht="30.75" customHeight="1" x14ac:dyDescent="0.25">
      <c r="A12" s="373">
        <v>6</v>
      </c>
      <c r="B12" s="197" t="s">
        <v>1097</v>
      </c>
      <c r="C12" s="18">
        <v>0.98501400560224095</v>
      </c>
      <c r="D12" s="18">
        <v>1.0068906602103183</v>
      </c>
      <c r="E12" s="19">
        <v>0.87916666666666665</v>
      </c>
      <c r="F12" s="125">
        <v>0.9451242660876169</v>
      </c>
      <c r="G12" s="125" t="s">
        <v>1261</v>
      </c>
    </row>
    <row r="13" spans="1:7" ht="30.75" customHeight="1" x14ac:dyDescent="0.25">
      <c r="A13" s="373">
        <v>7</v>
      </c>
      <c r="B13" s="197" t="s">
        <v>1067</v>
      </c>
      <c r="C13" s="18">
        <v>0.99246710526315784</v>
      </c>
      <c r="D13" s="30">
        <v>0.94838620056742085</v>
      </c>
      <c r="E13" s="30">
        <v>0.92198581560283688</v>
      </c>
      <c r="F13" s="125">
        <v>0.94187033723853741</v>
      </c>
      <c r="G13" s="124" t="s">
        <v>1261</v>
      </c>
    </row>
    <row r="14" spans="1:7" ht="30.75" customHeight="1" x14ac:dyDescent="0.25">
      <c r="A14" s="373">
        <v>8</v>
      </c>
      <c r="B14" s="197" t="s">
        <v>1094</v>
      </c>
      <c r="C14" s="19">
        <v>0.90029509874306524</v>
      </c>
      <c r="D14" s="18">
        <v>1.0513186864217758</v>
      </c>
      <c r="E14" s="19">
        <v>0.8833333333333333</v>
      </c>
      <c r="F14" s="125">
        <v>0.93671673653720777</v>
      </c>
      <c r="G14" s="124" t="s">
        <v>1261</v>
      </c>
    </row>
    <row r="15" spans="1:7" ht="30.75" customHeight="1" x14ac:dyDescent="0.25">
      <c r="A15" s="373">
        <v>9</v>
      </c>
      <c r="B15" s="197" t="s">
        <v>1064</v>
      </c>
      <c r="C15" s="30">
        <v>0.94696104326659758</v>
      </c>
      <c r="D15" s="18">
        <v>1.0357435115776155</v>
      </c>
      <c r="E15" s="19">
        <v>0.85599999999999998</v>
      </c>
      <c r="F15" s="125">
        <v>0.93569854203214464</v>
      </c>
      <c r="G15" s="124" t="s">
        <v>1261</v>
      </c>
    </row>
    <row r="16" spans="1:7" ht="30.75" customHeight="1" x14ac:dyDescent="0.25">
      <c r="A16" s="373">
        <v>10</v>
      </c>
      <c r="B16" s="197" t="s">
        <v>1069</v>
      </c>
      <c r="C16" s="30">
        <v>0.97503640841633876</v>
      </c>
      <c r="D16" s="18">
        <v>1.0996414429176373</v>
      </c>
      <c r="E16" s="24">
        <v>0.76623376623376627</v>
      </c>
      <c r="F16" s="125">
        <v>0.9350672457278929</v>
      </c>
      <c r="G16" s="125" t="s">
        <v>1261</v>
      </c>
    </row>
    <row r="17" spans="1:7" ht="30.75" customHeight="1" x14ac:dyDescent="0.25">
      <c r="A17" s="373">
        <v>11</v>
      </c>
      <c r="B17" s="197" t="s">
        <v>1090</v>
      </c>
      <c r="C17" s="30">
        <v>0.95079968644977697</v>
      </c>
      <c r="D17" s="18">
        <v>1.0394289106498751</v>
      </c>
      <c r="E17" s="24">
        <v>0.81730769230769229</v>
      </c>
      <c r="F17" s="125">
        <v>0.92459771697008164</v>
      </c>
      <c r="G17" s="124" t="s">
        <v>1261</v>
      </c>
    </row>
    <row r="18" spans="1:7" ht="30.75" customHeight="1" x14ac:dyDescent="0.25">
      <c r="A18" s="373">
        <v>12</v>
      </c>
      <c r="B18" s="197" t="s">
        <v>1091</v>
      </c>
      <c r="C18" s="19">
        <v>0.95593929879644168</v>
      </c>
      <c r="D18" s="18">
        <v>1.0145121486714512</v>
      </c>
      <c r="E18" s="24">
        <v>0.83333333333333337</v>
      </c>
      <c r="F18" s="125">
        <v>0.9230277083406071</v>
      </c>
      <c r="G18" s="124" t="s">
        <v>1261</v>
      </c>
    </row>
    <row r="19" spans="1:7" ht="30.75" customHeight="1" x14ac:dyDescent="0.25">
      <c r="A19" s="373">
        <v>13</v>
      </c>
      <c r="B19" s="197" t="s">
        <v>1095</v>
      </c>
      <c r="C19" s="30">
        <v>0.92659807546617501</v>
      </c>
      <c r="D19" s="18">
        <v>0.98438674312099617</v>
      </c>
      <c r="E19" s="24">
        <v>0.81818181818181823</v>
      </c>
      <c r="F19" s="26">
        <v>0.89837841909583749</v>
      </c>
      <c r="G19" s="26" t="s">
        <v>1263</v>
      </c>
    </row>
    <row r="20" spans="1:7" ht="30.75" customHeight="1" x14ac:dyDescent="0.25">
      <c r="A20" s="373">
        <v>14</v>
      </c>
      <c r="B20" s="197" t="s">
        <v>1068</v>
      </c>
      <c r="C20" s="19">
        <v>0.89322946160753958</v>
      </c>
      <c r="D20" s="18">
        <v>1.028338249111437</v>
      </c>
      <c r="E20" s="24">
        <v>0.77419354838709675</v>
      </c>
      <c r="F20" s="26">
        <v>0.88835496760674859</v>
      </c>
      <c r="G20" s="26" t="s">
        <v>1263</v>
      </c>
    </row>
    <row r="21" spans="1:7" ht="30.75" customHeight="1" x14ac:dyDescent="0.25">
      <c r="A21" s="373">
        <v>15</v>
      </c>
      <c r="B21" s="197" t="s">
        <v>1093</v>
      </c>
      <c r="C21" s="30">
        <v>0.94031528701650657</v>
      </c>
      <c r="D21" s="19">
        <v>0.8615226183710728</v>
      </c>
      <c r="E21" s="19">
        <v>0.8529411764705882</v>
      </c>
      <c r="F21" s="26">
        <v>0.8716569142995334</v>
      </c>
      <c r="G21" s="26" t="s">
        <v>1263</v>
      </c>
    </row>
    <row r="22" spans="1:7" ht="30.75" customHeight="1" x14ac:dyDescent="0.25">
      <c r="A22" s="373">
        <v>16</v>
      </c>
      <c r="B22" s="197" t="s">
        <v>1092</v>
      </c>
      <c r="C22" s="19">
        <v>0.83902843289022799</v>
      </c>
      <c r="D22" s="18">
        <v>1.0704104440426321</v>
      </c>
      <c r="E22" s="24">
        <v>0.59411764705882353</v>
      </c>
      <c r="F22" s="416">
        <v>0.82379336175257778</v>
      </c>
      <c r="G22" s="144" t="s">
        <v>1262</v>
      </c>
    </row>
    <row r="24" spans="1:7" x14ac:dyDescent="0.25">
      <c r="A24" s="28" t="s">
        <v>273</v>
      </c>
    </row>
    <row r="28" spans="1:7" ht="30" customHeight="1" x14ac:dyDescent="0.25"/>
  </sheetData>
  <mergeCells count="1">
    <mergeCell ref="A3:G3"/>
  </mergeCells>
  <phoneticPr fontId="71" type="noConversion"/>
  <conditionalFormatting sqref="G8">
    <cfRule type="colorScale" priority="4">
      <colorScale>
        <cfvo type="min"/>
        <cfvo type="percentile" val="50"/>
        <cfvo type="max"/>
        <color rgb="FFF8696B"/>
        <color rgb="FFFFEB84"/>
        <color rgb="FF63BE7B"/>
      </colorScale>
    </cfRule>
  </conditionalFormatting>
  <conditionalFormatting sqref="G6 E9 G9:G22">
    <cfRule type="colorScale" priority="3044">
      <colorScale>
        <cfvo type="min"/>
        <cfvo type="percentile" val="50"/>
        <cfvo type="max"/>
        <color rgb="FFF8696B"/>
        <color rgb="FFFFEB84"/>
        <color rgb="FF63BE7B"/>
      </colorScale>
    </cfRule>
  </conditionalFormatting>
  <pageMargins left="0.7" right="0.7" top="0.75" bottom="0.75" header="0.3" footer="0.3"/>
  <pageSetup paperSize="9" scale="47" orientation="landscape" r:id="rId1"/>
  <drawing r:id="rId2"/>
  <legacyDrawing r:id="rId3"/>
  <oleObjects>
    <mc:AlternateContent xmlns:mc="http://schemas.openxmlformats.org/markup-compatibility/2006">
      <mc:Choice Requires="x14">
        <oleObject progId="Excel.Chart.8" shapeId="11265" r:id="rId4">
          <objectPr defaultSize="0" autoPict="0" r:id="rId5">
            <anchor moveWithCells="1" sizeWithCells="1">
              <from>
                <xdr:col>7</xdr:col>
                <xdr:colOff>0</xdr:colOff>
                <xdr:row>9</xdr:row>
                <xdr:rowOff>0</xdr:rowOff>
              </from>
              <to>
                <xdr:col>7</xdr:col>
                <xdr:colOff>0</xdr:colOff>
                <xdr:row>11</xdr:row>
                <xdr:rowOff>0</xdr:rowOff>
              </to>
            </anchor>
          </objectPr>
        </oleObject>
      </mc:Choice>
      <mc:Fallback>
        <oleObject progId="Excel.Chart.8" shapeId="11265" r:id="rId4"/>
      </mc:Fallback>
    </mc:AlternateContent>
    <mc:AlternateContent xmlns:mc="http://schemas.openxmlformats.org/markup-compatibility/2006">
      <mc:Choice Requires="x14">
        <oleObject progId="Excel.Chart.8" shapeId="11266" r:id="rId6">
          <objectPr defaultSize="0" autoPict="0" r:id="rId5">
            <anchor moveWithCells="1" sizeWithCells="1">
              <from>
                <xdr:col>7</xdr:col>
                <xdr:colOff>0</xdr:colOff>
                <xdr:row>16</xdr:row>
                <xdr:rowOff>0</xdr:rowOff>
              </from>
              <to>
                <xdr:col>7</xdr:col>
                <xdr:colOff>0</xdr:colOff>
                <xdr:row>21</xdr:row>
                <xdr:rowOff>514350</xdr:rowOff>
              </to>
            </anchor>
          </objectPr>
        </oleObject>
      </mc:Choice>
      <mc:Fallback>
        <oleObject progId="Excel.Chart.8" shapeId="11266" r:id="rId6"/>
      </mc:Fallback>
    </mc:AlternateContent>
    <mc:AlternateContent xmlns:mc="http://schemas.openxmlformats.org/markup-compatibility/2006">
      <mc:Choice Requires="x14">
        <oleObject progId="Excel.Chart.8" shapeId="11267" r:id="rId7">
          <objectPr defaultSize="0" autoPict="0" r:id="rId5">
            <anchor moveWithCells="1" sizeWithCells="1">
              <from>
                <xdr:col>7</xdr:col>
                <xdr:colOff>0</xdr:colOff>
                <xdr:row>16</xdr:row>
                <xdr:rowOff>0</xdr:rowOff>
              </from>
              <to>
                <xdr:col>7</xdr:col>
                <xdr:colOff>0</xdr:colOff>
                <xdr:row>21</xdr:row>
                <xdr:rowOff>514350</xdr:rowOff>
              </to>
            </anchor>
          </objectPr>
        </oleObject>
      </mc:Choice>
      <mc:Fallback>
        <oleObject progId="Excel.Chart.8" shapeId="11267" r:id="rId7"/>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1. Показатели</vt:lpstr>
      <vt:lpstr>2.ПП</vt:lpstr>
      <vt:lpstr>3. ОКС</vt:lpstr>
      <vt:lpstr>4. Оценка</vt:lpstr>
      <vt:lpstr>Лист2</vt:lpstr>
      <vt:lpstr>'1. Показатели'!Заголовки_для_печати</vt:lpstr>
      <vt:lpstr>'4. Оценка'!Заголовки_для_печати</vt:lpstr>
      <vt:lpstr>'1. Показатели'!Область_печати</vt:lpstr>
      <vt:lpstr>'4. Оценка'!Область_печати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odmitrieva</dc:creator>
  <cp:lastModifiedBy>Пашинцева В.С.</cp:lastModifiedBy>
  <cp:lastPrinted>2021-05-24T14:49:08Z</cp:lastPrinted>
  <dcterms:created xsi:type="dcterms:W3CDTF">2016-05-06T10:02:19Z</dcterms:created>
  <dcterms:modified xsi:type="dcterms:W3CDTF">2024-05-16T18:36:18Z</dcterms:modified>
</cp:coreProperties>
</file>